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12120" windowHeight="9120" activeTab="0"/>
  </bookViews>
  <sheets>
    <sheet name="Calculator" sheetId="1" r:id="rId1"/>
    <sheet name="Data" sheetId="2" state="veryHidden" r:id="rId2"/>
    <sheet name="Sheet3" sheetId="3" state="veryHidden" r:id="rId3"/>
  </sheets>
  <definedNames>
    <definedName name="Battery_Contingency">'Data'!$A$27:$C$29</definedName>
    <definedName name="Main_Panel_Data">'Data'!$A$1:$Q$17</definedName>
    <definedName name="Output_Selection">'Data'!$G$37:$I$40</definedName>
    <definedName name="_xlnm.Print_Area" localSheetId="0">'Calculator'!$A$1:$K$186</definedName>
    <definedName name="Wire_Run_Data">'Data'!$A$34:$D$46</definedName>
  </definedNames>
  <calcPr fullCalcOnLoad="1"/>
</workbook>
</file>

<file path=xl/comments1.xml><?xml version="1.0" encoding="utf-8"?>
<comments xmlns="http://schemas.openxmlformats.org/spreadsheetml/2006/main">
  <authors>
    <author>J. McAward</author>
  </authors>
  <commentList>
    <comment ref="B15" authorId="0">
      <text>
        <r>
          <rPr>
            <b/>
            <sz val="8"/>
            <rFont val="Tahoma"/>
            <family val="0"/>
          </rPr>
          <t>If overdrawn (RED), then add 4297 devices as needed to expand capacity.  (4297 devices appear in the MULTI-POWER DEVICES table below)  Refer to the panel installation instructions for details.</t>
        </r>
      </text>
    </comment>
    <comment ref="D15" authorId="0">
      <text>
        <r>
          <rPr>
            <b/>
            <sz val="8"/>
            <rFont val="Tahoma"/>
            <family val="0"/>
          </rPr>
          <t>If overdrawn (RED), power some devices from additional UL-listed power supply as needed.  Enter quantity of externally powered devices in Column C.  Refer to panel instructions for details.</t>
        </r>
      </text>
    </comment>
    <comment ref="H15" authorId="0">
      <text>
        <r>
          <rPr>
            <b/>
            <sz val="8"/>
            <rFont val="Tahoma"/>
            <family val="0"/>
          </rPr>
          <t>If overdrawn (RED), use UL-listed externally powered bell; refer to panel instructions for details.</t>
        </r>
      </text>
    </comment>
    <comment ref="C15" authorId="0">
      <text>
        <r>
          <rPr>
            <b/>
            <sz val="8"/>
            <rFont val="Tahoma"/>
            <family val="0"/>
          </rPr>
          <t>If overdrawn (RED), power some devices from additional UL-listed power supply as needed.  Enter quantity of externally powered devices in Column C.  Refer to panel instructions for details.</t>
        </r>
      </text>
    </comment>
    <comment ref="G15" authorId="0">
      <text>
        <r>
          <rPr>
            <b/>
            <sz val="8"/>
            <rFont val="Tahoma"/>
            <family val="0"/>
          </rPr>
          <t>If overdrawn (RED), use UL-listed externally powered bell; refer to panel instructions for details.</t>
        </r>
      </text>
    </comment>
    <comment ref="I15" authorId="0">
      <text>
        <r>
          <rPr>
            <b/>
            <sz val="8"/>
            <rFont val="Tahoma"/>
            <family val="0"/>
          </rPr>
          <t>If overdrawn (RED), reconfigure some devices using external power. Refer to panel instructions for details.</t>
        </r>
      </text>
    </comment>
    <comment ref="J15" authorId="0">
      <text>
        <r>
          <rPr>
            <b/>
            <sz val="8"/>
            <rFont val="Tahoma"/>
            <family val="0"/>
          </rPr>
          <t>If overdrawn (RED), reconfigure some devices using external power. Refer to panel instructions for details.</t>
        </r>
      </text>
    </comment>
    <comment ref="G17" authorId="0">
      <text>
        <r>
          <rPr>
            <b/>
            <sz val="8"/>
            <rFont val="Tahoma"/>
            <family val="0"/>
          </rPr>
          <t xml:space="preserve">If required, add external bell power supply with AT LEAST this capacity.
</t>
        </r>
      </text>
    </comment>
    <comment ref="K17" authorId="0">
      <text>
        <r>
          <rPr>
            <b/>
            <sz val="8"/>
            <rFont val="Tahoma"/>
            <family val="0"/>
          </rPr>
          <t xml:space="preserve">If required, add external UL-Listed power supply with AT LEAST this capacity.
</t>
        </r>
      </text>
    </comment>
    <comment ref="D162" authorId="0">
      <text>
        <r>
          <rPr>
            <b/>
            <sz val="8"/>
            <rFont val="Tahoma"/>
            <family val="0"/>
          </rPr>
          <t>If overdrawn (RED), reconfigure or use external power.  Refer to panel and device instructions for details.</t>
        </r>
      </text>
    </comment>
    <comment ref="G162" authorId="0">
      <text>
        <r>
          <rPr>
            <b/>
            <sz val="8"/>
            <rFont val="Tahoma"/>
            <family val="0"/>
          </rPr>
          <t>If overdrawn (RED), reconfigure or use external power.  Refer to panel and device instructions for details.</t>
        </r>
      </text>
    </comment>
    <comment ref="I162" authorId="0">
      <text>
        <r>
          <rPr>
            <b/>
            <sz val="8"/>
            <rFont val="Tahoma"/>
            <family val="0"/>
          </rPr>
          <t>If overdrawn (RED), reconfigure some devices using external power. Refer to panel instructions for details.</t>
        </r>
      </text>
    </comment>
    <comment ref="J162" authorId="0">
      <text>
        <r>
          <rPr>
            <b/>
            <sz val="8"/>
            <rFont val="Tahoma"/>
            <family val="0"/>
          </rPr>
          <t>If overdrawn (RED), reconfigure some devices using external power. Refer to panel instructions for details.</t>
        </r>
      </text>
    </comment>
    <comment ref="E162" authorId="0">
      <text>
        <r>
          <rPr>
            <b/>
            <sz val="8"/>
            <rFont val="Tahoma"/>
            <family val="0"/>
          </rPr>
          <t>If overdrawn (RED), reconfigure or use external power.  Refer to panel and device instructions for details.</t>
        </r>
      </text>
    </comment>
    <comment ref="F162" authorId="0">
      <text>
        <r>
          <rPr>
            <b/>
            <sz val="8"/>
            <rFont val="Tahoma"/>
            <family val="0"/>
          </rPr>
          <t>If overdrawn (RED), reconfigure or use external power.  Refer to panel and device instructions for details.</t>
        </r>
      </text>
    </comment>
    <comment ref="K162" authorId="0">
      <text>
        <r>
          <rPr>
            <b/>
            <sz val="8"/>
            <rFont val="Tahoma"/>
            <family val="0"/>
          </rPr>
          <t>If overdrawn (RED), power some devices from additional UL-listed power supply as needed.  Enter quantity of externally powered devices in Column C.  Refer to panel instructions for details.</t>
        </r>
      </text>
    </comment>
    <comment ref="A37" authorId="0">
      <text>
        <r>
          <rPr>
            <sz val="8"/>
            <rFont val="Tahoma"/>
            <family val="2"/>
          </rPr>
          <t>2 wire smokes are powered by the control panel zone(s), and are included as part of the panel's base current  draw.
Enter type and quantity here</t>
        </r>
      </text>
    </comment>
    <comment ref="A38" authorId="0">
      <text>
        <r>
          <rPr>
            <sz val="8"/>
            <rFont val="Tahoma"/>
            <family val="2"/>
          </rPr>
          <t>2 wire smokes are powered by the control panel zone(s), and are included as part of the panel's base current  draw.
Enter type and quantity here</t>
        </r>
      </text>
    </comment>
    <comment ref="A39" authorId="0">
      <text>
        <r>
          <rPr>
            <sz val="8"/>
            <rFont val="Tahoma"/>
            <family val="2"/>
          </rPr>
          <t>2 wire smokes are powered by the control panel zone(s), and are included as part of the panel's base current  draw.
Enter type and quantity here</t>
        </r>
      </text>
    </comment>
    <comment ref="A40" authorId="0">
      <text>
        <r>
          <rPr>
            <sz val="8"/>
            <rFont val="Tahoma"/>
            <family val="2"/>
          </rPr>
          <t>2 wire smokes are powered by the control panel zone(s), and are included as part of the panel's base current  draw.
Enter type and quantity here</t>
        </r>
      </text>
    </comment>
    <comment ref="A41" authorId="0">
      <text>
        <r>
          <rPr>
            <sz val="8"/>
            <rFont val="Tahoma"/>
            <family val="2"/>
          </rPr>
          <t xml:space="preserve">Enter device type and current draw values here
</t>
        </r>
      </text>
    </comment>
    <comment ref="A42" authorId="0">
      <text>
        <r>
          <rPr>
            <sz val="8"/>
            <rFont val="Tahoma"/>
            <family val="2"/>
          </rPr>
          <t xml:space="preserve">Enter device type and current draw values here
</t>
        </r>
      </text>
    </comment>
    <comment ref="A43" authorId="0">
      <text>
        <r>
          <rPr>
            <sz val="8"/>
            <rFont val="Tahoma"/>
            <family val="2"/>
          </rPr>
          <t xml:space="preserve">Enter device type and current draw values here
</t>
        </r>
      </text>
    </comment>
    <comment ref="A44" authorId="0">
      <text>
        <r>
          <rPr>
            <sz val="8"/>
            <rFont val="Tahoma"/>
            <family val="2"/>
          </rPr>
          <t xml:space="preserve">Enter device type and current draw values here
</t>
        </r>
      </text>
    </comment>
    <comment ref="K2" authorId="0">
      <text>
        <r>
          <rPr>
            <b/>
            <sz val="8"/>
            <rFont val="Tahoma"/>
            <family val="0"/>
          </rPr>
          <t xml:space="preserve">This value is used to compensate for the way a lead-acid battery changes over time.  Typically, for standby times of 4 hours or less, the contingency factor is 40%; for longer standby times (e.g. 24 hours) the contingency factor is 10%.  These requirements change locally; check with your AHJ and set this value accordingly. </t>
        </r>
      </text>
    </comment>
  </commentList>
</comments>
</file>

<file path=xl/comments2.xml><?xml version="1.0" encoding="utf-8"?>
<comments xmlns="http://schemas.openxmlformats.org/spreadsheetml/2006/main">
  <authors>
    <author>J. McAward</author>
  </authors>
  <commentList>
    <comment ref="R1" authorId="0">
      <text>
        <r>
          <rPr>
            <b/>
            <sz val="8"/>
            <rFont val="Tahoma"/>
            <family val="0"/>
          </rPr>
          <t xml:space="preserve">this field is driven by panel selection combo box on previous page &amp; is used as lookup ref for this panel data. </t>
        </r>
      </text>
    </comment>
    <comment ref="O1" authorId="0">
      <text>
        <r>
          <rPr>
            <b/>
            <sz val="8"/>
            <rFont val="Tahoma"/>
            <family val="0"/>
          </rPr>
          <t>Does this panel support fixed glass keypads?  
0 is "no support"; 
1 is "supports".
If a panel does not support fixed glass, items on calculator page are disabled.</t>
        </r>
      </text>
    </comment>
    <comment ref="P1" authorId="0">
      <text>
        <r>
          <rPr>
            <b/>
            <sz val="8"/>
            <rFont val="Tahoma"/>
            <family val="0"/>
          </rPr>
          <t>Does this panel support fixed glass keypads?  
0 is "no support"; 
1 is "supports".
If a panel does not support fixed glass, items on calculator page are disabled.</t>
        </r>
      </text>
    </comment>
  </commentList>
</comments>
</file>

<file path=xl/sharedStrings.xml><?xml version="1.0" encoding="utf-8"?>
<sst xmlns="http://schemas.openxmlformats.org/spreadsheetml/2006/main" count="380" uniqueCount="265">
  <si>
    <t>POLLING LOOP DEVICES</t>
  </si>
  <si>
    <t>4278EX-SN</t>
  </si>
  <si>
    <t>4190WH</t>
  </si>
  <si>
    <t>4191SN-WH</t>
  </si>
  <si>
    <t>4192CP</t>
  </si>
  <si>
    <t>4209U</t>
  </si>
  <si>
    <t>4293SN</t>
  </si>
  <si>
    <t>4945SN-WH</t>
  </si>
  <si>
    <t>6150RF</t>
  </si>
  <si>
    <t>6160RF</t>
  </si>
  <si>
    <t>6150V</t>
  </si>
  <si>
    <t>6160V</t>
  </si>
  <si>
    <t>UVS</t>
  </si>
  <si>
    <t>Quest2260SN</t>
  </si>
  <si>
    <t>Vistakey</t>
  </si>
  <si>
    <t>Date:</t>
  </si>
  <si>
    <t>Model:</t>
  </si>
  <si>
    <t>Account #:</t>
  </si>
  <si>
    <t>Location:</t>
  </si>
  <si>
    <t xml:space="preserve">Recommended </t>
  </si>
  <si>
    <t>Battery (AH)</t>
  </si>
  <si>
    <t>AUXILIARY POWERED DEVICES</t>
  </si>
  <si>
    <t>4286 with warning speakers</t>
  </si>
  <si>
    <t>Vista-32FB</t>
  </si>
  <si>
    <t>Vista-100</t>
  </si>
  <si>
    <t>Vista-250BP</t>
  </si>
  <si>
    <t>Vista-250FBP</t>
  </si>
  <si>
    <t>Vista-40</t>
  </si>
  <si>
    <t>Vista-50P</t>
  </si>
  <si>
    <t>5140XM</t>
  </si>
  <si>
    <t>Select Panel from pulldown list:</t>
  </si>
  <si>
    <t>Enter
Quantity</t>
  </si>
  <si>
    <t>Battery &amp; Power Budget Calculator</t>
  </si>
  <si>
    <t>&lt;Select Panel&gt;</t>
  </si>
  <si>
    <t>No.</t>
  </si>
  <si>
    <t>Panel</t>
  </si>
  <si>
    <t>Polling Loop (mA)</t>
  </si>
  <si>
    <t xml:space="preserve">4204: Enter no. of relays used </t>
  </si>
  <si>
    <t>4204CF:Enter no. of relays used</t>
  </si>
  <si>
    <t>Engineer:</t>
  </si>
  <si>
    <t>Aux. Power (normal; mA)</t>
  </si>
  <si>
    <t>Aux. Power (alarm; mA)</t>
  </si>
  <si>
    <t>Panel Standby (mA)</t>
  </si>
  <si>
    <t>Panel Alarm (mA)</t>
  </si>
  <si>
    <t>Bell #1 Output (mA)</t>
  </si>
  <si>
    <t>Bell #2 Output (mA)</t>
  </si>
  <si>
    <t>Polling Loop</t>
  </si>
  <si>
    <t>Polling 
Loop (mA)</t>
  </si>
  <si>
    <t>Standby Auxiliary Power (mA)</t>
  </si>
  <si>
    <t>Alarm Auxiliary Power (mA)</t>
  </si>
  <si>
    <t>Panel 
Alarm (mA)</t>
  </si>
  <si>
    <t>Panel 
Standby 
(mA)</t>
  </si>
  <si>
    <t>Bell #1 
Output 
(mA)</t>
  </si>
  <si>
    <t>Calculated Current Draw</t>
  </si>
  <si>
    <t>Alarm
Current (Aux)</t>
  </si>
  <si>
    <t>Standby (aux pwr)</t>
  </si>
  <si>
    <t>Total Polling Loop</t>
  </si>
  <si>
    <t>Total Alarm Current</t>
  </si>
  <si>
    <t>Total Standby Current</t>
  </si>
  <si>
    <t>8132 (Symphony)</t>
  </si>
  <si>
    <t>Bell Power Budget</t>
  </si>
  <si>
    <t>Bell #2 
Output (if used; mA)</t>
  </si>
  <si>
    <t>Power Budget</t>
  </si>
  <si>
    <t>MULTI-POWER DEVICES</t>
  </si>
  <si>
    <t>Motion Detctrs (enter quant. &amp; currents)</t>
  </si>
  <si>
    <t>4100SM (no more than one per system)</t>
  </si>
  <si>
    <t>Enter Standby and Alarm Times</t>
  </si>
  <si>
    <t>Facility Information</t>
  </si>
  <si>
    <t>KEYPADS</t>
  </si>
  <si>
    <t>6139/6139R</t>
  </si>
  <si>
    <t>6160/6160CR</t>
  </si>
  <si>
    <t>FG-1625SN Glass Break Detector</t>
  </si>
  <si>
    <t>All Keypads?</t>
  </si>
  <si>
    <t xml:space="preserve">Supports All 
Keypads? </t>
  </si>
  <si>
    <t>5140DLM Backup Dialer Module</t>
  </si>
  <si>
    <t>4192SD Photoelectric Smoke Det.</t>
  </si>
  <si>
    <t xml:space="preserve">4192SDT </t>
  </si>
  <si>
    <t>4194 Contact</t>
  </si>
  <si>
    <t>4275EX Dual PIR</t>
  </si>
  <si>
    <t>4101SN Single Output Relay Module</t>
  </si>
  <si>
    <t>4190SN Two Zone SIM</t>
  </si>
  <si>
    <t>4193SN Two Zone SIM</t>
  </si>
  <si>
    <t>4275EX-SN Dual PIR</t>
  </si>
  <si>
    <t>Modifiers (LEDs, etc.)</t>
  </si>
  <si>
    <t>6128RF</t>
  </si>
  <si>
    <t>4209U Grouped Zone Mux. Module</t>
  </si>
  <si>
    <t>4939SN WH/BR/GY Surf Mt. Cntct.</t>
  </si>
  <si>
    <t>4944SN Recessed Contact</t>
  </si>
  <si>
    <t>4959SN Overhead Door Contact</t>
  </si>
  <si>
    <t>4285 Voice Module</t>
  </si>
  <si>
    <t>7845C Cellular Radio</t>
  </si>
  <si>
    <t>VA8200 Panel Linking Module</t>
  </si>
  <si>
    <t>VA8201 Alpha Pager Module</t>
  </si>
  <si>
    <t xml:space="preserve">998 Wall Mount PIR </t>
  </si>
  <si>
    <t>997 Ceiling Mount PIR</t>
  </si>
  <si>
    <t>5800RP wireless repeater module</t>
  </si>
  <si>
    <t>5800TM wireless xmtr module</t>
  </si>
  <si>
    <t>5883 hi-security receiver</t>
  </si>
  <si>
    <t>7845i Internet Communicator</t>
  </si>
  <si>
    <t>FSA-8 fire zone annunciator</t>
  </si>
  <si>
    <t>FSA-24 fire zone annunciator</t>
  </si>
  <si>
    <t>Add'l Device (enter quant. &amp; currents)</t>
  </si>
  <si>
    <t>Add'l Vplex (enter qnt'y &amp; current)</t>
  </si>
  <si>
    <t>How many powered externally?</t>
  </si>
  <si>
    <t>Total External Current Required</t>
  </si>
  <si>
    <t>Total Sounder Current (external)</t>
  </si>
  <si>
    <t>4297 Polling Loop Extender</t>
  </si>
  <si>
    <t>Add'l Keypd (Enter # and Currents)</t>
  </si>
  <si>
    <t>Battery Standby (hours):</t>
  </si>
  <si>
    <t>Alarm Duration (minutes):</t>
  </si>
  <si>
    <t>How many powered by 4297?</t>
  </si>
  <si>
    <t>5881EN receiver</t>
  </si>
  <si>
    <t>Supports SN Vplex Devices?</t>
  </si>
  <si>
    <t>Supports Graphic UI?</t>
  </si>
  <si>
    <t>AUI Support?</t>
  </si>
  <si>
    <t>SN Vplex?</t>
  </si>
  <si>
    <t>Contingency 
Factor:</t>
  </si>
  <si>
    <t>grayed-out devices are not supported by selected panel</t>
  </si>
  <si>
    <t>Polling Loop Overdraw if highlighted! Add 4297 Devices (row 41)</t>
  </si>
  <si>
    <t>Supports Polling Loop?</t>
  </si>
  <si>
    <t>Polling Loop Support</t>
  </si>
  <si>
    <t>Grayed-out device(s) are not supported by selected panel</t>
  </si>
  <si>
    <t>Maximum Panel Standby Output</t>
  </si>
  <si>
    <t>Maximum Panel Alarm Output</t>
  </si>
  <si>
    <t>Max Panel Alarm Output</t>
  </si>
  <si>
    <t>Max Panel Standby Output</t>
  </si>
  <si>
    <t>Total Standby</t>
  </si>
  <si>
    <t>Standby Budget</t>
  </si>
  <si>
    <t>Total Alarm</t>
  </si>
  <si>
    <t>Alarm Budget</t>
  </si>
  <si>
    <t>Power Overdraw if highlighted</t>
  </si>
  <si>
    <t>Panel Max Output Exceeded if highlighted</t>
  </si>
  <si>
    <t>Comm'l Fire Rated?</t>
  </si>
  <si>
    <t>Lookup from Select Panel control</t>
  </si>
  <si>
    <t>Max. Batt Capacity (AH)</t>
  </si>
  <si>
    <t>Vista-20P</t>
  </si>
  <si>
    <t>Vista-20PS</t>
  </si>
  <si>
    <t>SELECTED PANEL MAXIMUM OUTPUT RATINGS</t>
  </si>
  <si>
    <t>Calculated Bell Draw</t>
  </si>
  <si>
    <t>External  Bell Power Req'd (mA):</t>
  </si>
  <si>
    <t>Max Battery Supported by Panel</t>
  </si>
  <si>
    <t>Ext. UL Power Req'd (mA):</t>
  </si>
  <si>
    <t>Number</t>
  </si>
  <si>
    <t>Factor</t>
  </si>
  <si>
    <t>Value</t>
  </si>
  <si>
    <t>Selection</t>
  </si>
  <si>
    <t>Battery Contingency (normally 1.1 (10%), 1.2 (20%), or 1,4 (40%).</t>
  </si>
  <si>
    <t xml:space="preserve">This value is carried to Battery Capacity calculation (in cell Calculator!J6), and is used to compensate for the way a lead-acid battery changes over time. Select one of the two methods for calculating this below, and copy the appropriate cell into B20. </t>
  </si>
  <si>
    <t>This code adds a combo-box selector to the Calculator page, 
which will enable the user to select battery contingency factors of 10%, 20%, or 40%.  This code is here in case customer feedback indicates that they want battery contingency as a manual selection.  To implement, copy the combo box to the calculator page, and copy cell D26 to B20.</t>
  </si>
  <si>
    <t>This code automatically selects battery contingency factor based on standby time (in cell Calculator!J3).  Using this method, the factor is 1.4 if standby time is 4 hours or less, and 1.1 (10%) if the standby time is over 4 hours.  To implement, copy cell G26 to B20.</t>
  </si>
  <si>
    <t>998MX PIR</t>
  </si>
  <si>
    <t>7845CV2 Cell Radio</t>
  </si>
  <si>
    <t>© 2003 Honeywell International Inc.   All Rights Reserved</t>
  </si>
  <si>
    <t>4208SNF (Class B to A Zone Converter)</t>
  </si>
  <si>
    <r>
      <t xml:space="preserve">4208U </t>
    </r>
    <r>
      <rPr>
        <i/>
        <sz val="10"/>
        <rFont val="Arial"/>
        <family val="2"/>
      </rPr>
      <t xml:space="preserve">[powered by </t>
    </r>
    <r>
      <rPr>
        <b/>
        <i/>
        <sz val="10"/>
        <rFont val="Arial"/>
        <family val="2"/>
      </rPr>
      <t>polling loop</t>
    </r>
    <r>
      <rPr>
        <i/>
        <sz val="10"/>
        <rFont val="Arial"/>
        <family val="2"/>
      </rPr>
      <t>]</t>
    </r>
  </si>
  <si>
    <r>
      <t xml:space="preserve">4208U </t>
    </r>
    <r>
      <rPr>
        <i/>
        <sz val="10"/>
        <rFont val="Arial"/>
        <family val="2"/>
      </rPr>
      <t xml:space="preserve">[powered by </t>
    </r>
    <r>
      <rPr>
        <b/>
        <i/>
        <sz val="10"/>
        <rFont val="Arial"/>
        <family val="2"/>
      </rPr>
      <t>panel aux power</t>
    </r>
    <r>
      <rPr>
        <i/>
        <sz val="10"/>
        <rFont val="Arial"/>
        <family val="2"/>
      </rPr>
      <t>]</t>
    </r>
  </si>
  <si>
    <r>
      <t>4208U</t>
    </r>
    <r>
      <rPr>
        <i/>
        <sz val="10"/>
        <rFont val="Arial"/>
        <family val="2"/>
      </rPr>
      <t xml:space="preserve"> [powered </t>
    </r>
    <r>
      <rPr>
        <b/>
        <i/>
        <sz val="10"/>
        <rFont val="Arial"/>
        <family val="2"/>
      </rPr>
      <t>externally</t>
    </r>
    <r>
      <rPr>
        <i/>
        <sz val="10"/>
        <rFont val="Arial"/>
        <family val="2"/>
      </rPr>
      <t>]</t>
    </r>
  </si>
  <si>
    <r>
      <t>4208SN</t>
    </r>
    <r>
      <rPr>
        <i/>
        <sz val="10"/>
        <rFont val="Arial"/>
        <family val="2"/>
      </rPr>
      <t xml:space="preserve"> [powered by </t>
    </r>
    <r>
      <rPr>
        <b/>
        <i/>
        <sz val="10"/>
        <rFont val="Arial"/>
        <family val="2"/>
      </rPr>
      <t>polling loop</t>
    </r>
    <r>
      <rPr>
        <i/>
        <sz val="10"/>
        <rFont val="Arial"/>
        <family val="2"/>
      </rPr>
      <t>]</t>
    </r>
  </si>
  <si>
    <r>
      <t xml:space="preserve">4208SNF </t>
    </r>
    <r>
      <rPr>
        <i/>
        <sz val="10"/>
        <rFont val="Arial"/>
        <family val="2"/>
      </rPr>
      <t xml:space="preserve">[powered by </t>
    </r>
    <r>
      <rPr>
        <b/>
        <i/>
        <sz val="10"/>
        <rFont val="Arial"/>
        <family val="2"/>
      </rPr>
      <t>polling loop</t>
    </r>
    <r>
      <rPr>
        <i/>
        <sz val="10"/>
        <rFont val="Arial"/>
        <family val="2"/>
      </rPr>
      <t>]</t>
    </r>
  </si>
  <si>
    <r>
      <t xml:space="preserve">4208SN </t>
    </r>
    <r>
      <rPr>
        <i/>
        <sz val="10"/>
        <rFont val="Arial"/>
        <family val="2"/>
      </rPr>
      <t xml:space="preserve">[powered </t>
    </r>
    <r>
      <rPr>
        <b/>
        <i/>
        <sz val="10"/>
        <rFont val="Arial"/>
        <family val="2"/>
      </rPr>
      <t>externally</t>
    </r>
    <r>
      <rPr>
        <i/>
        <sz val="10"/>
        <rFont val="Arial"/>
        <family val="2"/>
      </rPr>
      <t>]</t>
    </r>
  </si>
  <si>
    <r>
      <t xml:space="preserve">4208SN </t>
    </r>
    <r>
      <rPr>
        <i/>
        <sz val="10"/>
        <rFont val="Arial"/>
        <family val="2"/>
      </rPr>
      <t xml:space="preserve">[powered by </t>
    </r>
    <r>
      <rPr>
        <b/>
        <i/>
        <sz val="10"/>
        <rFont val="Arial"/>
        <family val="2"/>
      </rPr>
      <t>panel aux power</t>
    </r>
    <r>
      <rPr>
        <i/>
        <sz val="10"/>
        <rFont val="Arial"/>
        <family val="2"/>
      </rPr>
      <t>]</t>
    </r>
  </si>
  <si>
    <r>
      <t xml:space="preserve">4208SNF </t>
    </r>
    <r>
      <rPr>
        <i/>
        <sz val="10"/>
        <rFont val="Arial"/>
        <family val="2"/>
      </rPr>
      <t xml:space="preserve">[powered by </t>
    </r>
    <r>
      <rPr>
        <b/>
        <i/>
        <sz val="10"/>
        <rFont val="Arial"/>
        <family val="2"/>
      </rPr>
      <t>panel aux power</t>
    </r>
    <r>
      <rPr>
        <i/>
        <sz val="10"/>
        <rFont val="Arial"/>
        <family val="2"/>
      </rPr>
      <t>]</t>
    </r>
  </si>
  <si>
    <r>
      <t xml:space="preserve">4208SNF </t>
    </r>
    <r>
      <rPr>
        <i/>
        <sz val="10"/>
        <rFont val="Arial"/>
        <family val="2"/>
      </rPr>
      <t xml:space="preserve">[powered </t>
    </r>
    <r>
      <rPr>
        <b/>
        <i/>
        <sz val="10"/>
        <rFont val="Arial"/>
        <family val="2"/>
      </rPr>
      <t>externally</t>
    </r>
    <r>
      <rPr>
        <i/>
        <sz val="10"/>
        <rFont val="Arial"/>
        <family val="2"/>
      </rPr>
      <t>]</t>
    </r>
  </si>
  <si>
    <t>Vista-128B</t>
  </si>
  <si>
    <t>Vista-128BP</t>
  </si>
  <si>
    <t>Vista-128FB</t>
  </si>
  <si>
    <t>Vista-128FBP</t>
  </si>
  <si>
    <t>NA</t>
  </si>
  <si>
    <t>Total Sounder Current from Panel Bell #1</t>
  </si>
  <si>
    <t xml:space="preserve">Enter device name, quant., &amp; current </t>
  </si>
  <si>
    <t>Bell #1 Power Overdraw if highlighed!</t>
  </si>
  <si>
    <t>Total Sounder Current from Panel Bell #2</t>
  </si>
  <si>
    <t>Bell #2 Power Overdraw if highlighed!</t>
  </si>
  <si>
    <t>12V NOTIFICATION DEVICES ON 
BELL OUTPUT #1</t>
  </si>
  <si>
    <t>12V NOTIFICATION DEVICES ON 
BELL OUTPUT #2 (IF USED)</t>
  </si>
  <si>
    <t>Gauge</t>
  </si>
  <si>
    <t>&lt;Select Wire Gauge&gt;</t>
  </si>
  <si>
    <t>#12 AWG Solid</t>
  </si>
  <si>
    <t>#12 AWG Stranded</t>
  </si>
  <si>
    <t>#14 AWG Solid</t>
  </si>
  <si>
    <t>#14 AWG Stranded</t>
  </si>
  <si>
    <t>#16 AWG Solid</t>
  </si>
  <si>
    <t>#16 AWG Stranded</t>
  </si>
  <si>
    <t>#18 AWG Solid</t>
  </si>
  <si>
    <t>#18 AWG Stranded</t>
  </si>
  <si>
    <t>Ohms/1K ft</t>
  </si>
  <si>
    <t>Ohms/1KM</t>
  </si>
  <si>
    <t>Lookup</t>
  </si>
  <si>
    <t>24V BELL CIRCUIT WIRE RUN DATA</t>
  </si>
  <si>
    <t>Units</t>
  </si>
  <si>
    <t>Unit Selection</t>
  </si>
  <si>
    <t>Unit 
Selection</t>
  </si>
  <si>
    <t>Feet</t>
  </si>
  <si>
    <t>Meters</t>
  </si>
  <si>
    <t>Line Drop 
Calculations</t>
  </si>
  <si>
    <t>Wire Gauge(AWG)</t>
  </si>
  <si>
    <t>Voltage Drop (Percent)</t>
  </si>
  <si>
    <t>Run Length</t>
  </si>
  <si>
    <t>Voltage At EOL</t>
  </si>
  <si>
    <t>Actual Resistance (twin leads)</t>
  </si>
  <si>
    <t>PS24 Power Supply</t>
  </si>
  <si>
    <t>#20 AWG solid</t>
  </si>
  <si>
    <t>#20 AWG Stranded</t>
  </si>
  <si>
    <t>#22 AWG Solid</t>
  </si>
  <si>
    <t>#22 AWG Stranded</t>
  </si>
  <si>
    <t>12V AUX POWER AND BELL CIRCUIT WIRE RUN DATA</t>
  </si>
  <si>
    <t>PS24 POWER SUPPLY MODULE, MAXIMUM CAPACITIES</t>
  </si>
  <si>
    <t>Required Capacity (AH)</t>
  </si>
  <si>
    <t>Panel 12V Alarm (mA)</t>
  </si>
  <si>
    <t>Panel 12V Standby (mA)</t>
  </si>
  <si>
    <t>Output B Alarm
(mA)</t>
  </si>
  <si>
    <t>Output B Standby (mA)</t>
  </si>
  <si>
    <t>Output A Standby (mA)</t>
  </si>
  <si>
    <t>Output A Alarm (mA)</t>
  </si>
  <si>
    <t>Maximum Total  Alarm Output</t>
  </si>
  <si>
    <t>Maximum Total Standby Output</t>
  </si>
  <si>
    <t>Max. Battery Capacity</t>
  </si>
  <si>
    <t>24V Notification Appliance</t>
  </si>
  <si>
    <t>Output A</t>
  </si>
  <si>
    <t>Output B</t>
  </si>
  <si>
    <t>Output Selection</t>
  </si>
  <si>
    <t>Output</t>
  </si>
  <si>
    <t>Which PS24 Output?</t>
  </si>
  <si>
    <t>Device Standby Load (MA)</t>
  </si>
  <si>
    <t>Device Alarm Load (MA)</t>
  </si>
  <si>
    <t>Subtotal A Standby</t>
  </si>
  <si>
    <t>Subtotal B Standby</t>
  </si>
  <si>
    <t>Subtotal A Alarm</t>
  </si>
  <si>
    <t>Subtotal B Alarm</t>
  </si>
  <si>
    <t>PS24 PC Board (mA)</t>
  </si>
  <si>
    <t>Use TWO identical batteries w/ this AH capacity</t>
  </si>
  <si>
    <t>Total Alarm Current Draw (mA)</t>
  </si>
  <si>
    <t>Alarm Current Draw (mA)</t>
  </si>
  <si>
    <t>Standby/Alarm Durations (from top)</t>
  </si>
  <si>
    <t>PS24 Output A Wire Run (twin lead)</t>
  </si>
  <si>
    <t>PS24 Output B Wire Run (twin lead)</t>
  </si>
  <si>
    <r>
      <t xml:space="preserve">24V NOTIFICATION APPLIANCES
</t>
    </r>
    <r>
      <rPr>
        <b/>
        <i/>
        <sz val="10"/>
        <rFont val="Arial"/>
        <family val="2"/>
      </rPr>
      <t>Enter Device Names &amp; Specifications</t>
    </r>
  </si>
  <si>
    <t>5192SD Smoke Detector</t>
  </si>
  <si>
    <t>5192SDT Smoke Detector with Heat</t>
  </si>
  <si>
    <t xml:space="preserve">Equivalent panel load  @ 24V </t>
  </si>
  <si>
    <t>(converted to 12VDC from 24V full-wave)</t>
  </si>
  <si>
    <t>Honeywell Security</t>
  </si>
  <si>
    <r>
      <t>12V</t>
    </r>
    <r>
      <rPr>
        <i/>
        <sz val="10"/>
        <rFont val="Arial"/>
        <family val="2"/>
      </rPr>
      <t xml:space="preserve"> 4-wire Smoke ( Qnt'y &amp; Currents) </t>
    </r>
  </si>
  <si>
    <t xml:space="preserve">PS24 24 volt Power Supply Module </t>
  </si>
  <si>
    <r>
      <t>2 wire</t>
    </r>
    <r>
      <rPr>
        <i/>
        <sz val="10"/>
        <rFont val="Arial"/>
        <family val="2"/>
      </rPr>
      <t xml:space="preserve"> smoke detector (zone powered)</t>
    </r>
  </si>
  <si>
    <t xml:space="preserve">Two-wire smoke detectors are powered from the appropriate panel zone(s), and their current draw is built into the Panel standby and alarm budgets.  These fields are included to help you create a complete equipment list.  </t>
  </si>
  <si>
    <t>Panel Aux Power Wire Run (twin lead)</t>
  </si>
  <si>
    <t>Panel Bell 1 Wire Run (twin lead)</t>
  </si>
  <si>
    <t>Panel Bell 2 Wire Run (twin lead)</t>
  </si>
  <si>
    <r>
      <t xml:space="preserve">2 WIRE &amp; 4 WIRE SMOKE DETECTORS </t>
    </r>
    <r>
      <rPr>
        <i/>
        <sz val="10"/>
        <rFont val="Arial"/>
        <family val="2"/>
      </rPr>
      <t>(except Vplex Polling Loop detectors)</t>
    </r>
  </si>
  <si>
    <t>Lookups from Calc Page</t>
  </si>
  <si>
    <t>5110XM</t>
  </si>
  <si>
    <t>Battery Contigency 
Factor</t>
  </si>
  <si>
    <t>version 1.051/July 27, 2004</t>
  </si>
  <si>
    <t>AD-ALL SECURITY INC. GARY MCCUTCHEN</t>
  </si>
  <si>
    <t>VISTA 32FB</t>
  </si>
  <si>
    <t>NEW MEXICO LICENSE # 33786</t>
  </si>
  <si>
    <t>5140PMS-1 Pull Station</t>
  </si>
  <si>
    <t>Duct Detector (powered other)</t>
  </si>
  <si>
    <t>Dampers (power by other)</t>
  </si>
  <si>
    <t>SAGE CENTER PROFESSIONAL SUITES PHASE 2</t>
  </si>
  <si>
    <t>PR2 STROBE HORN 75CD</t>
  </si>
  <si>
    <t>PR2 STROBE HORN WP 110CD</t>
  </si>
  <si>
    <t>PS STROBE 15CD</t>
  </si>
  <si>
    <t>PR2 STROBE HORN 30CD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</si>
</sst>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Red]0"/>
    <numFmt numFmtId="175" formatCode="0.00;[Red]0.00"/>
    <numFmt numFmtId="176" formatCode="0.0;[Red]0.0"/>
    <numFmt numFmtId="177" formatCode="0.0_);[Red]\(0.0\)"/>
    <numFmt numFmtId="178" formatCode=";;;"/>
  </numFmts>
  <fonts count="37">
    <font>
      <sz val="10"/>
      <name val="Arial"/>
      <family val="0"/>
    </font>
    <font>
      <sz val="10"/>
      <color indexed="10"/>
      <name val="Arial"/>
      <family val="0"/>
    </font>
    <font>
      <b/>
      <sz val="10"/>
      <name val="Arial"/>
      <family val="2"/>
    </font>
    <font>
      <b/>
      <sz val="10"/>
      <color indexed="9"/>
      <name val="Arial"/>
      <family val="2"/>
    </font>
    <font>
      <sz val="8"/>
      <name val="Tahoma"/>
      <family val="2"/>
    </font>
    <font>
      <sz val="10"/>
      <color indexed="9"/>
      <name val="Arial"/>
      <family val="2"/>
    </font>
    <font>
      <b/>
      <sz val="8"/>
      <name val="Tahoma"/>
      <family val="0"/>
    </font>
    <font>
      <b/>
      <i/>
      <sz val="8"/>
      <name val="Arial"/>
      <family val="2"/>
    </font>
    <font>
      <b/>
      <i/>
      <sz val="12"/>
      <name val="Arial"/>
      <family val="2"/>
    </font>
    <font>
      <sz val="10"/>
      <color indexed="17"/>
      <name val="Arial"/>
      <family val="2"/>
    </font>
    <font>
      <b/>
      <i/>
      <sz val="10"/>
      <name val="Arial"/>
      <family val="2"/>
    </font>
    <font>
      <b/>
      <i/>
      <sz val="16"/>
      <color indexed="57"/>
      <name val="Arial"/>
      <family val="2"/>
    </font>
    <font>
      <b/>
      <sz val="12"/>
      <name val="Arial"/>
      <family val="2"/>
    </font>
    <font>
      <sz val="8"/>
      <name val="Arial"/>
      <family val="2"/>
    </font>
    <font>
      <sz val="10"/>
      <color indexed="22"/>
      <name val="Arial"/>
      <family val="2"/>
    </font>
    <font>
      <sz val="5"/>
      <color indexed="22"/>
      <name val="Arial"/>
      <family val="2"/>
    </font>
    <font>
      <sz val="10"/>
      <color indexed="55"/>
      <name val="Arial"/>
      <family val="2"/>
    </font>
    <font>
      <b/>
      <sz val="10"/>
      <color indexed="22"/>
      <name val="Arial"/>
      <family val="2"/>
    </font>
    <font>
      <b/>
      <i/>
      <sz val="10"/>
      <color indexed="22"/>
      <name val="Arial"/>
      <family val="2"/>
    </font>
    <font>
      <i/>
      <sz val="10"/>
      <name val="Arial"/>
      <family val="2"/>
    </font>
    <font>
      <b/>
      <sz val="8"/>
      <name val="Arial"/>
      <family val="2"/>
    </font>
    <font>
      <i/>
      <sz val="10"/>
      <color indexed="22"/>
      <name val="Arial"/>
      <family val="2"/>
    </font>
    <font>
      <sz val="8"/>
      <color indexed="16"/>
      <name val="Arial Narrow"/>
      <family val="2"/>
    </font>
    <font>
      <sz val="10"/>
      <color indexed="16"/>
      <name val="Arial"/>
      <family val="2"/>
    </font>
    <font>
      <b/>
      <sz val="10"/>
      <color indexed="10"/>
      <name val="Arial"/>
      <family val="2"/>
    </font>
    <font>
      <sz val="12"/>
      <name val="Arial"/>
      <family val="2"/>
    </font>
    <font>
      <b/>
      <i/>
      <sz val="10"/>
      <color indexed="8"/>
      <name val="Arial"/>
      <family val="2"/>
    </font>
    <font>
      <i/>
      <sz val="8"/>
      <name val="Arial"/>
      <family val="2"/>
    </font>
    <font>
      <b/>
      <i/>
      <sz val="9"/>
      <name val="Arial"/>
      <family val="2"/>
    </font>
    <font>
      <b/>
      <i/>
      <sz val="9"/>
      <color indexed="22"/>
      <name val="Arial"/>
      <family val="2"/>
    </font>
    <font>
      <b/>
      <sz val="16"/>
      <color indexed="10"/>
      <name val="Arial"/>
      <family val="2"/>
    </font>
    <font>
      <sz val="7"/>
      <color indexed="10"/>
      <name val="Arial"/>
      <family val="2"/>
    </font>
    <font>
      <b/>
      <sz val="11"/>
      <name val="Arial"/>
      <family val="2"/>
    </font>
    <font>
      <sz val="7"/>
      <name val="Arial"/>
      <family val="2"/>
    </font>
    <font>
      <sz val="8"/>
      <color indexed="22"/>
      <name val="Arial"/>
      <family val="2"/>
    </font>
    <font>
      <b/>
      <i/>
      <sz val="12"/>
      <color indexed="38"/>
      <name val="Arial"/>
      <family val="2"/>
    </font>
    <font>
      <b/>
      <i/>
      <sz val="13"/>
      <color indexed="38"/>
      <name val="Arial"/>
      <family val="2"/>
    </font>
  </fonts>
  <fills count="13">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darkDown"/>
    </fill>
    <fill>
      <patternFill patternType="darkDown">
        <bgColor indexed="9"/>
      </patternFill>
    </fill>
    <fill>
      <patternFill patternType="darkUp">
        <bgColor indexed="10"/>
      </patternFill>
    </fill>
    <fill>
      <patternFill patternType="lightUp"/>
    </fill>
    <fill>
      <patternFill patternType="lightDown"/>
    </fill>
    <fill>
      <patternFill patternType="darkDown">
        <bgColor indexed="22"/>
      </patternFill>
    </fill>
    <fill>
      <patternFill patternType="lightDown">
        <bgColor indexed="9"/>
      </patternFill>
    </fill>
    <fill>
      <patternFill patternType="solid">
        <fgColor indexed="9"/>
        <bgColor indexed="64"/>
      </patternFill>
    </fill>
  </fills>
  <borders count="68">
    <border>
      <left/>
      <right/>
      <top/>
      <bottom/>
      <diagonal/>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thick"/>
      <right style="thick"/>
      <top style="thick"/>
      <bottom style="thick"/>
    </border>
    <border>
      <left style="thin"/>
      <right style="thick"/>
      <top style="thin"/>
      <bottom style="thin"/>
    </border>
    <border>
      <left style="thin"/>
      <right style="thick"/>
      <top style="thick"/>
      <bottom style="thin"/>
    </border>
    <border>
      <left style="medium"/>
      <right style="thick"/>
      <top style="medium"/>
      <bottom style="medium"/>
    </border>
    <border>
      <left>
        <color indexed="63"/>
      </left>
      <right style="medium"/>
      <top style="medium"/>
      <bottom style="medium"/>
    </border>
    <border>
      <left style="medium"/>
      <right style="medium"/>
      <top style="medium"/>
      <bottom style="medium"/>
    </border>
    <border>
      <left style="medium"/>
      <right style="thick"/>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style="thick"/>
      <top>
        <color indexed="63"/>
      </top>
      <bottom style="thin"/>
    </border>
    <border>
      <left style="thin"/>
      <right style="thin"/>
      <top style="thick"/>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medium"/>
    </border>
    <border>
      <left style="thin"/>
      <right style="thin"/>
      <top style="medium"/>
      <bottom style="thin"/>
    </border>
    <border>
      <left style="thin"/>
      <right style="double"/>
      <top style="thin"/>
      <bottom style="thin"/>
    </border>
    <border>
      <left style="thin"/>
      <right style="double"/>
      <top>
        <color indexed="63"/>
      </top>
      <bottom style="thin"/>
    </border>
    <border>
      <left>
        <color indexed="63"/>
      </left>
      <right style="double"/>
      <top>
        <color indexed="63"/>
      </top>
      <bottom>
        <color indexed="63"/>
      </bottom>
    </border>
    <border>
      <left>
        <color indexed="63"/>
      </left>
      <right style="double"/>
      <top style="thin"/>
      <bottom style="thin"/>
    </border>
    <border>
      <left style="thin"/>
      <right>
        <color indexed="63"/>
      </right>
      <top style="thin"/>
      <bottom style="thin"/>
    </border>
    <border>
      <left style="double"/>
      <right style="thin"/>
      <top style="thin"/>
      <bottom style="thin"/>
    </border>
    <border>
      <left style="double"/>
      <right style="thin"/>
      <top>
        <color indexed="63"/>
      </top>
      <bottom style="thin"/>
    </border>
    <border>
      <left style="double"/>
      <right>
        <color indexed="63"/>
      </right>
      <top>
        <color indexed="63"/>
      </top>
      <bottom>
        <color indexed="63"/>
      </bottom>
    </border>
    <border>
      <left style="double"/>
      <right style="thin"/>
      <top>
        <color indexed="63"/>
      </top>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style="double"/>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ck"/>
      <top style="thick"/>
      <bottom style="thick"/>
    </border>
    <border>
      <left style="thick"/>
      <right style="thick"/>
      <top style="thick"/>
      <bottom>
        <color indexed="63"/>
      </bottom>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ck"/>
      <bottom style="thin"/>
    </border>
    <border>
      <left style="double"/>
      <right>
        <color indexed="63"/>
      </right>
      <top style="thin"/>
      <bottom style="thin"/>
    </border>
    <border>
      <left style="medium"/>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7">
    <xf numFmtId="0" fontId="0" fillId="0" borderId="0" xfId="0" applyAlignment="1">
      <alignment/>
    </xf>
    <xf numFmtId="0" fontId="13" fillId="0" borderId="0" xfId="0" applyFont="1" applyAlignment="1">
      <alignment/>
    </xf>
    <xf numFmtId="0" fontId="13" fillId="0" borderId="1" xfId="0" applyFont="1" applyBorder="1" applyAlignment="1">
      <alignment/>
    </xf>
    <xf numFmtId="0" fontId="13" fillId="2" borderId="1" xfId="0" applyFont="1" applyFill="1" applyBorder="1" applyAlignment="1">
      <alignment/>
    </xf>
    <xf numFmtId="0" fontId="13" fillId="2" borderId="1" xfId="0" applyNumberFormat="1" applyFont="1" applyFill="1" applyBorder="1" applyAlignment="1">
      <alignment/>
    </xf>
    <xf numFmtId="0" fontId="0" fillId="3" borderId="0" xfId="0" applyFill="1" applyAlignment="1" applyProtection="1">
      <alignment/>
      <protection/>
    </xf>
    <xf numFmtId="0" fontId="0" fillId="2" borderId="0" xfId="0" applyFill="1" applyAlignment="1" applyProtection="1">
      <alignment/>
      <protection/>
    </xf>
    <xf numFmtId="0" fontId="10" fillId="3" borderId="0" xfId="0" applyFont="1" applyFill="1" applyAlignment="1" applyProtection="1">
      <alignment/>
      <protection/>
    </xf>
    <xf numFmtId="0" fontId="2" fillId="0" borderId="2" xfId="0" applyFont="1" applyFill="1" applyBorder="1" applyAlignment="1" applyProtection="1">
      <alignment horizontal="right"/>
      <protection/>
    </xf>
    <xf numFmtId="0" fontId="0" fillId="3" borderId="0" xfId="0" applyFill="1" applyBorder="1" applyAlignment="1" applyProtection="1">
      <alignment/>
      <protection/>
    </xf>
    <xf numFmtId="0" fontId="1" fillId="3" borderId="0" xfId="0" applyFont="1" applyFill="1" applyAlignment="1" applyProtection="1">
      <alignment horizontal="center" vertical="center" wrapText="1"/>
      <protection/>
    </xf>
    <xf numFmtId="0" fontId="2" fillId="0" borderId="1" xfId="0" applyFont="1" applyFill="1" applyBorder="1" applyAlignment="1" applyProtection="1">
      <alignment horizontal="right"/>
      <protection/>
    </xf>
    <xf numFmtId="0" fontId="3" fillId="3" borderId="0" xfId="0" applyFont="1" applyFill="1" applyAlignment="1" applyProtection="1">
      <alignment horizontal="center" vertical="center"/>
      <protection/>
    </xf>
    <xf numFmtId="0" fontId="10" fillId="3" borderId="0" xfId="0" applyFont="1" applyFill="1" applyAlignment="1" applyProtection="1">
      <alignment horizontal="right"/>
      <protection/>
    </xf>
    <xf numFmtId="0" fontId="2" fillId="3" borderId="0" xfId="0" applyFont="1" applyFill="1" applyAlignment="1" applyProtection="1">
      <alignment horizontal="center"/>
      <protection/>
    </xf>
    <xf numFmtId="0" fontId="2" fillId="4" borderId="3" xfId="0" applyFont="1" applyFill="1" applyBorder="1" applyAlignment="1" applyProtection="1">
      <alignment/>
      <protection/>
    </xf>
    <xf numFmtId="0" fontId="7" fillId="2" borderId="1" xfId="0" applyFont="1" applyFill="1" applyBorder="1" applyAlignment="1" applyProtection="1">
      <alignment horizontal="center" vertical="center" wrapText="1"/>
      <protection/>
    </xf>
    <xf numFmtId="0" fontId="5" fillId="2" borderId="0" xfId="0" applyFont="1" applyFill="1" applyAlignment="1" applyProtection="1">
      <alignment/>
      <protection/>
    </xf>
    <xf numFmtId="0" fontId="2" fillId="3" borderId="0" xfId="0" applyFont="1" applyFill="1" applyAlignment="1" applyProtection="1">
      <alignment/>
      <protection/>
    </xf>
    <xf numFmtId="0" fontId="0" fillId="0" borderId="1" xfId="0" applyFill="1" applyBorder="1" applyAlignment="1" applyProtection="1">
      <alignment/>
      <protection/>
    </xf>
    <xf numFmtId="0" fontId="0" fillId="3" borderId="0" xfId="0" applyFill="1" applyBorder="1" applyAlignment="1" applyProtection="1">
      <alignment wrapText="1"/>
      <protection/>
    </xf>
    <xf numFmtId="0" fontId="2" fillId="2" borderId="4" xfId="0" applyFont="1" applyFill="1" applyBorder="1" applyAlignment="1" applyProtection="1">
      <alignment wrapText="1"/>
      <protection/>
    </xf>
    <xf numFmtId="0" fontId="7" fillId="4" borderId="4" xfId="0" applyFont="1" applyFill="1" applyBorder="1" applyAlignment="1" applyProtection="1">
      <alignment horizontal="center" wrapText="1"/>
      <protection/>
    </xf>
    <xf numFmtId="0" fontId="7" fillId="3" borderId="4" xfId="0" applyFont="1" applyFill="1" applyBorder="1" applyAlignment="1" applyProtection="1">
      <alignment horizontal="center" wrapText="1"/>
      <protection/>
    </xf>
    <xf numFmtId="0" fontId="0" fillId="2" borderId="0" xfId="0" applyFill="1" applyBorder="1" applyAlignment="1" applyProtection="1">
      <alignment/>
      <protection/>
    </xf>
    <xf numFmtId="0" fontId="0" fillId="2" borderId="5" xfId="0" applyFont="1" applyFill="1" applyBorder="1" applyAlignment="1" applyProtection="1">
      <alignment horizontal="left"/>
      <protection/>
    </xf>
    <xf numFmtId="0" fontId="0" fillId="2" borderId="2" xfId="0" applyFill="1" applyBorder="1" applyAlignment="1" applyProtection="1">
      <alignment/>
      <protection/>
    </xf>
    <xf numFmtId="0" fontId="0" fillId="0" borderId="2" xfId="0" applyFill="1" applyBorder="1" applyAlignment="1" applyProtection="1">
      <alignment/>
      <protection/>
    </xf>
    <xf numFmtId="0" fontId="0" fillId="2" borderId="1" xfId="0" applyFill="1" applyBorder="1" applyAlignment="1" applyProtection="1">
      <alignment/>
      <protection/>
    </xf>
    <xf numFmtId="0" fontId="0" fillId="5" borderId="1" xfId="0" applyFill="1" applyBorder="1" applyAlignment="1" applyProtection="1">
      <alignment/>
      <protection/>
    </xf>
    <xf numFmtId="0" fontId="0" fillId="5" borderId="2" xfId="0" applyFill="1" applyBorder="1" applyAlignment="1" applyProtection="1">
      <alignment/>
      <protection/>
    </xf>
    <xf numFmtId="0" fontId="0" fillId="2" borderId="6" xfId="0" applyFont="1" applyFill="1" applyBorder="1" applyAlignment="1" applyProtection="1">
      <alignment horizontal="left"/>
      <protection/>
    </xf>
    <xf numFmtId="0" fontId="0" fillId="3" borderId="0" xfId="0" applyFont="1" applyFill="1" applyAlignment="1" applyProtection="1">
      <alignment horizontal="left"/>
      <protection/>
    </xf>
    <xf numFmtId="0" fontId="2" fillId="2" borderId="7" xfId="0" applyFont="1" applyFill="1" applyBorder="1" applyAlignment="1" applyProtection="1">
      <alignment/>
      <protection/>
    </xf>
    <xf numFmtId="0" fontId="7" fillId="4" borderId="8" xfId="0" applyFont="1" applyFill="1" applyBorder="1" applyAlignment="1" applyProtection="1">
      <alignment horizontal="center" wrapText="1"/>
      <protection/>
    </xf>
    <xf numFmtId="0" fontId="7" fillId="3" borderId="9" xfId="0" applyFont="1" applyFill="1" applyBorder="1" applyAlignment="1" applyProtection="1">
      <alignment horizontal="center" wrapText="1"/>
      <protection/>
    </xf>
    <xf numFmtId="0" fontId="0" fillId="2" borderId="10" xfId="0" applyFont="1" applyFill="1" applyBorder="1" applyAlignment="1" applyProtection="1">
      <alignment horizontal="left"/>
      <protection/>
    </xf>
    <xf numFmtId="0" fontId="0" fillId="5" borderId="11" xfId="0" applyFill="1" applyBorder="1" applyAlignment="1" applyProtection="1">
      <alignment/>
      <protection/>
    </xf>
    <xf numFmtId="0" fontId="0" fillId="5" borderId="12" xfId="0" applyFill="1" applyBorder="1" applyAlignment="1" applyProtection="1">
      <alignment/>
      <protection/>
    </xf>
    <xf numFmtId="0" fontId="0" fillId="5" borderId="13" xfId="0" applyFill="1" applyBorder="1" applyAlignment="1" applyProtection="1">
      <alignment/>
      <protection/>
    </xf>
    <xf numFmtId="0" fontId="7" fillId="4" borderId="9" xfId="0" applyFont="1" applyFill="1" applyBorder="1" applyAlignment="1" applyProtection="1">
      <alignment horizontal="center" wrapText="1"/>
      <protection/>
    </xf>
    <xf numFmtId="0" fontId="0" fillId="2" borderId="9" xfId="0" applyFill="1" applyBorder="1" applyAlignment="1" applyProtection="1">
      <alignment/>
      <protection/>
    </xf>
    <xf numFmtId="0" fontId="0" fillId="3" borderId="0" xfId="0" applyFill="1" applyBorder="1" applyAlignment="1" applyProtection="1">
      <alignment horizontal="left"/>
      <protection/>
    </xf>
    <xf numFmtId="0" fontId="0" fillId="0" borderId="0" xfId="0" applyFill="1" applyAlignment="1" applyProtection="1">
      <alignment/>
      <protection/>
    </xf>
    <xf numFmtId="0" fontId="12" fillId="4" borderId="2"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0" fillId="4" borderId="1" xfId="0" applyFill="1" applyBorder="1" applyAlignment="1" applyProtection="1">
      <alignment/>
      <protection locked="0"/>
    </xf>
    <xf numFmtId="0" fontId="0" fillId="4" borderId="12" xfId="0" applyFill="1" applyBorder="1" applyAlignment="1" applyProtection="1">
      <alignment/>
      <protection locked="0"/>
    </xf>
    <xf numFmtId="1" fontId="0" fillId="4" borderId="8" xfId="0" applyNumberFormat="1" applyFill="1" applyBorder="1" applyAlignment="1" applyProtection="1">
      <alignment/>
      <protection locked="0"/>
    </xf>
    <xf numFmtId="0" fontId="0" fillId="4" borderId="9" xfId="0" applyFill="1" applyBorder="1" applyAlignment="1" applyProtection="1">
      <alignment/>
      <protection locked="0"/>
    </xf>
    <xf numFmtId="0" fontId="0" fillId="2" borderId="1" xfId="0" applyFont="1" applyFill="1" applyBorder="1" applyAlignment="1" applyProtection="1">
      <alignment horizontal="right"/>
      <protection/>
    </xf>
    <xf numFmtId="0" fontId="0" fillId="2" borderId="1" xfId="0" applyFill="1" applyBorder="1" applyAlignment="1" applyProtection="1">
      <alignment horizontal="right"/>
      <protection/>
    </xf>
    <xf numFmtId="0" fontId="0" fillId="2" borderId="14" xfId="0" applyFont="1" applyFill="1" applyBorder="1" applyAlignment="1" applyProtection="1">
      <alignment horizontal="left"/>
      <protection/>
    </xf>
    <xf numFmtId="0" fontId="0" fillId="2" borderId="11" xfId="0" applyFont="1" applyFill="1" applyBorder="1" applyAlignment="1" applyProtection="1">
      <alignment horizontal="right"/>
      <protection/>
    </xf>
    <xf numFmtId="0" fontId="0" fillId="0" borderId="11" xfId="0" applyFill="1" applyBorder="1" applyAlignment="1" applyProtection="1">
      <alignment horizontal="right"/>
      <protection/>
    </xf>
    <xf numFmtId="0" fontId="0" fillId="2" borderId="15" xfId="0" applyFont="1" applyFill="1" applyBorder="1" applyAlignment="1" applyProtection="1">
      <alignment horizontal="right"/>
      <protection/>
    </xf>
    <xf numFmtId="0" fontId="14" fillId="3" borderId="0" xfId="0" applyFont="1" applyFill="1" applyAlignment="1" applyProtection="1">
      <alignment/>
      <protection hidden="1"/>
    </xf>
    <xf numFmtId="0" fontId="15" fillId="3" borderId="0" xfId="0" applyFont="1" applyFill="1" applyAlignment="1" applyProtection="1">
      <alignment textRotation="90" shrinkToFit="1"/>
      <protection hidden="1"/>
    </xf>
    <xf numFmtId="0" fontId="0" fillId="3" borderId="11" xfId="0" applyFill="1" applyBorder="1" applyAlignment="1" applyProtection="1">
      <alignment/>
      <protection/>
    </xf>
    <xf numFmtId="0" fontId="16" fillId="3" borderId="0" xfId="0" applyFont="1" applyFill="1" applyAlignment="1" applyProtection="1">
      <alignment/>
      <protection hidden="1"/>
    </xf>
    <xf numFmtId="0" fontId="0" fillId="5" borderId="16" xfId="0" applyFill="1" applyBorder="1" applyAlignment="1" applyProtection="1">
      <alignment/>
      <protection/>
    </xf>
    <xf numFmtId="0" fontId="0" fillId="5" borderId="17" xfId="0" applyFill="1" applyBorder="1" applyAlignment="1" applyProtection="1">
      <alignment/>
      <protection/>
    </xf>
    <xf numFmtId="1" fontId="2" fillId="4" borderId="12" xfId="0" applyNumberFormat="1" applyFont="1" applyFill="1" applyBorder="1" applyAlignment="1" applyProtection="1">
      <alignment/>
      <protection locked="0"/>
    </xf>
    <xf numFmtId="1" fontId="19" fillId="4" borderId="12" xfId="0" applyNumberFormat="1" applyFont="1" applyFill="1" applyBorder="1" applyAlignment="1" applyProtection="1">
      <alignment/>
      <protection locked="0"/>
    </xf>
    <xf numFmtId="0" fontId="10" fillId="4" borderId="4" xfId="0" applyFont="1" applyFill="1" applyBorder="1" applyAlignment="1" applyProtection="1">
      <alignment horizontal="center" wrapText="1"/>
      <protection/>
    </xf>
    <xf numFmtId="0" fontId="13" fillId="0" borderId="18" xfId="0" applyFont="1" applyBorder="1" applyAlignment="1">
      <alignment/>
    </xf>
    <xf numFmtId="0" fontId="13" fillId="0" borderId="19" xfId="0" applyFont="1" applyBorder="1" applyAlignment="1">
      <alignment/>
    </xf>
    <xf numFmtId="0" fontId="13" fillId="0" borderId="16" xfId="0" applyFont="1" applyBorder="1" applyAlignment="1">
      <alignment/>
    </xf>
    <xf numFmtId="0" fontId="13" fillId="0" borderId="20" xfId="0" applyFont="1" applyBorder="1" applyAlignment="1">
      <alignment/>
    </xf>
    <xf numFmtId="0" fontId="13" fillId="0" borderId="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12" xfId="0" applyFont="1" applyBorder="1" applyAlignment="1">
      <alignment/>
    </xf>
    <xf numFmtId="0" fontId="14" fillId="3" borderId="0" xfId="0" applyFont="1" applyFill="1" applyAlignment="1" applyProtection="1">
      <alignment/>
      <protection/>
    </xf>
    <xf numFmtId="0" fontId="14" fillId="3" borderId="0" xfId="0" applyFont="1" applyFill="1" applyBorder="1" applyAlignment="1" applyProtection="1">
      <alignment/>
      <protection/>
    </xf>
    <xf numFmtId="0" fontId="14" fillId="3" borderId="0" xfId="0" applyFont="1" applyFill="1" applyBorder="1" applyAlignment="1" applyProtection="1">
      <alignment horizontal="center" vertical="center"/>
      <protection/>
    </xf>
    <xf numFmtId="0" fontId="17" fillId="3" borderId="0" xfId="0" applyFont="1" applyFill="1" applyBorder="1" applyAlignment="1" applyProtection="1">
      <alignment horizontal="center"/>
      <protection hidden="1"/>
    </xf>
    <xf numFmtId="0" fontId="14" fillId="2" borderId="0" xfId="0" applyFont="1" applyFill="1" applyAlignment="1" applyProtection="1">
      <alignment/>
      <protection/>
    </xf>
    <xf numFmtId="0" fontId="0" fillId="2" borderId="12" xfId="0" applyFill="1" applyBorder="1" applyAlignment="1" applyProtection="1">
      <alignment/>
      <protection/>
    </xf>
    <xf numFmtId="1" fontId="0" fillId="4" borderId="24" xfId="0" applyNumberFormat="1" applyFill="1" applyBorder="1" applyAlignment="1" applyProtection="1">
      <alignment/>
      <protection locked="0"/>
    </xf>
    <xf numFmtId="0" fontId="0" fillId="2" borderId="25" xfId="0" applyFont="1" applyFill="1" applyBorder="1" applyAlignment="1" applyProtection="1">
      <alignment horizontal="right"/>
      <protection/>
    </xf>
    <xf numFmtId="0" fontId="0" fillId="2" borderId="5" xfId="0" applyFont="1" applyFill="1" applyBorder="1" applyAlignment="1" applyProtection="1">
      <alignment horizontal="right"/>
      <protection/>
    </xf>
    <xf numFmtId="178" fontId="17" fillId="3" borderId="0" xfId="0" applyNumberFormat="1" applyFont="1" applyFill="1" applyBorder="1" applyAlignment="1" applyProtection="1">
      <alignment horizontal="center" wrapText="1"/>
      <protection hidden="1" locked="0"/>
    </xf>
    <xf numFmtId="178" fontId="17" fillId="3" borderId="0" xfId="0" applyNumberFormat="1" applyFont="1" applyFill="1" applyBorder="1" applyAlignment="1" applyProtection="1">
      <alignment/>
      <protection hidden="1" locked="0"/>
    </xf>
    <xf numFmtId="178" fontId="17" fillId="3" borderId="0" xfId="0" applyNumberFormat="1" applyFont="1" applyFill="1" applyAlignment="1" applyProtection="1">
      <alignment/>
      <protection hidden="1" locked="0"/>
    </xf>
    <xf numFmtId="178" fontId="2" fillId="3" borderId="0" xfId="0" applyNumberFormat="1" applyFont="1" applyFill="1" applyAlignment="1" applyProtection="1">
      <alignment/>
      <protection hidden="1" locked="0"/>
    </xf>
    <xf numFmtId="178" fontId="2" fillId="3" borderId="0" xfId="0" applyNumberFormat="1" applyFont="1" applyFill="1" applyBorder="1" applyAlignment="1" applyProtection="1">
      <alignment/>
      <protection hidden="1" locked="0"/>
    </xf>
    <xf numFmtId="178" fontId="2" fillId="3" borderId="0" xfId="0" applyNumberFormat="1" applyFont="1" applyFill="1" applyAlignment="1" applyProtection="1">
      <alignment/>
      <protection/>
    </xf>
    <xf numFmtId="178" fontId="0" fillId="3" borderId="0" xfId="0" applyNumberFormat="1" applyFill="1" applyAlignment="1" applyProtection="1">
      <alignment/>
      <protection/>
    </xf>
    <xf numFmtId="0" fontId="7" fillId="3" borderId="0" xfId="0" applyFont="1" applyFill="1" applyBorder="1" applyAlignment="1" applyProtection="1">
      <alignment horizontal="center" wrapText="1"/>
      <protection/>
    </xf>
    <xf numFmtId="0" fontId="7" fillId="0" borderId="11" xfId="0" applyFont="1" applyFill="1" applyBorder="1" applyAlignment="1" applyProtection="1">
      <alignment horizontal="center" vertical="center" wrapText="1"/>
      <protection/>
    </xf>
    <xf numFmtId="0" fontId="10" fillId="0" borderId="12" xfId="0" applyFont="1" applyFill="1" applyBorder="1" applyAlignment="1" applyProtection="1">
      <alignment/>
      <protection/>
    </xf>
    <xf numFmtId="174" fontId="0" fillId="0" borderId="11" xfId="0" applyNumberFormat="1" applyFill="1" applyBorder="1" applyAlignment="1" applyProtection="1">
      <alignment/>
      <protection/>
    </xf>
    <xf numFmtId="177" fontId="9" fillId="0" borderId="11" xfId="0" applyNumberFormat="1" applyFont="1" applyFill="1" applyBorder="1" applyAlignment="1" applyProtection="1">
      <alignment/>
      <protection/>
    </xf>
    <xf numFmtId="0" fontId="7" fillId="2" borderId="26" xfId="0" applyFont="1" applyFill="1" applyBorder="1" applyAlignment="1" applyProtection="1">
      <alignment horizontal="center" vertical="center" wrapText="1"/>
      <protection/>
    </xf>
    <xf numFmtId="0" fontId="10" fillId="2" borderId="27" xfId="0" applyFont="1" applyFill="1" applyBorder="1" applyAlignment="1" applyProtection="1">
      <alignment/>
      <protection/>
    </xf>
    <xf numFmtId="0" fontId="0" fillId="3" borderId="28" xfId="0" applyFill="1" applyBorder="1" applyAlignment="1" applyProtection="1">
      <alignment/>
      <protection/>
    </xf>
    <xf numFmtId="0" fontId="0" fillId="0" borderId="26" xfId="0" applyFill="1" applyBorder="1" applyAlignment="1" applyProtection="1">
      <alignment/>
      <protection/>
    </xf>
    <xf numFmtId="0" fontId="0" fillId="3" borderId="29" xfId="0" applyFill="1" applyBorder="1" applyAlignment="1" applyProtection="1">
      <alignment/>
      <protection/>
    </xf>
    <xf numFmtId="177" fontId="9" fillId="0" borderId="26" xfId="0" applyNumberFormat="1" applyFont="1" applyFill="1" applyBorder="1" applyAlignment="1" applyProtection="1">
      <alignment/>
      <protection/>
    </xf>
    <xf numFmtId="0" fontId="7" fillId="2" borderId="30" xfId="0" applyFont="1" applyFill="1" applyBorder="1" applyAlignment="1" applyProtection="1">
      <alignment horizontal="center" vertical="center" wrapText="1"/>
      <protection/>
    </xf>
    <xf numFmtId="0" fontId="10" fillId="2" borderId="22" xfId="0" applyFont="1" applyFill="1" applyBorder="1" applyAlignment="1" applyProtection="1">
      <alignment/>
      <protection/>
    </xf>
    <xf numFmtId="0" fontId="7" fillId="2" borderId="31" xfId="0" applyFont="1" applyFill="1" applyBorder="1" applyAlignment="1" applyProtection="1">
      <alignment horizontal="center" vertical="center" wrapText="1"/>
      <protection/>
    </xf>
    <xf numFmtId="0" fontId="10" fillId="2" borderId="32" xfId="0" applyFont="1" applyFill="1" applyBorder="1" applyAlignment="1" applyProtection="1">
      <alignment/>
      <protection/>
    </xf>
    <xf numFmtId="0" fontId="0" fillId="3" borderId="33" xfId="0" applyFill="1" applyBorder="1" applyAlignment="1" applyProtection="1">
      <alignment/>
      <protection/>
    </xf>
    <xf numFmtId="0" fontId="0" fillId="0" borderId="31" xfId="0" applyFill="1" applyBorder="1" applyAlignment="1" applyProtection="1">
      <alignment/>
      <protection/>
    </xf>
    <xf numFmtId="0" fontId="0" fillId="3" borderId="33" xfId="0" applyFill="1" applyBorder="1" applyAlignment="1" applyProtection="1">
      <alignment horizontal="right"/>
      <protection/>
    </xf>
    <xf numFmtId="177" fontId="9" fillId="0" borderId="31" xfId="0" applyNumberFormat="1" applyFont="1" applyFill="1" applyBorder="1" applyAlignment="1" applyProtection="1">
      <alignment/>
      <protection/>
    </xf>
    <xf numFmtId="0" fontId="10" fillId="0" borderId="27" xfId="0" applyFont="1" applyFill="1" applyBorder="1" applyAlignment="1" applyProtection="1">
      <alignment/>
      <protection/>
    </xf>
    <xf numFmtId="0" fontId="7" fillId="2" borderId="11" xfId="0" applyFont="1" applyFill="1" applyBorder="1" applyAlignment="1" applyProtection="1">
      <alignment horizontal="center" vertical="center" wrapText="1"/>
      <protection/>
    </xf>
    <xf numFmtId="0" fontId="10" fillId="2" borderId="12" xfId="0" applyFont="1" applyFill="1" applyBorder="1" applyAlignment="1" applyProtection="1">
      <alignment/>
      <protection/>
    </xf>
    <xf numFmtId="0" fontId="0" fillId="3" borderId="26" xfId="0" applyFill="1" applyBorder="1" applyAlignment="1" applyProtection="1">
      <alignment/>
      <protection/>
    </xf>
    <xf numFmtId="174" fontId="0" fillId="0" borderId="26" xfId="0" applyNumberFormat="1" applyFill="1" applyBorder="1" applyAlignment="1" applyProtection="1">
      <alignment/>
      <protection/>
    </xf>
    <xf numFmtId="0" fontId="0" fillId="3" borderId="31" xfId="0" applyFill="1" applyBorder="1" applyAlignment="1" applyProtection="1">
      <alignment/>
      <protection/>
    </xf>
    <xf numFmtId="0" fontId="10" fillId="2" borderId="31" xfId="0" applyFont="1" applyFill="1" applyBorder="1" applyAlignment="1" applyProtection="1">
      <alignment/>
      <protection/>
    </xf>
    <xf numFmtId="0" fontId="0" fillId="3" borderId="34" xfId="0" applyFill="1" applyBorder="1" applyAlignment="1" applyProtection="1">
      <alignment/>
      <protection/>
    </xf>
    <xf numFmtId="0" fontId="14" fillId="3" borderId="19" xfId="0" applyFont="1" applyFill="1" applyBorder="1" applyAlignment="1" applyProtection="1">
      <alignment wrapText="1"/>
      <protection/>
    </xf>
    <xf numFmtId="0" fontId="24" fillId="3" borderId="0" xfId="0" applyFont="1" applyFill="1" applyAlignment="1" applyProtection="1">
      <alignment horizontal="left" vertical="center" shrinkToFit="1"/>
      <protection/>
    </xf>
    <xf numFmtId="0" fontId="20" fillId="0" borderId="19" xfId="0" applyFont="1" applyBorder="1" applyAlignment="1">
      <alignment/>
    </xf>
    <xf numFmtId="0" fontId="20" fillId="0" borderId="0" xfId="0" applyFont="1" applyAlignment="1">
      <alignment/>
    </xf>
    <xf numFmtId="0" fontId="25" fillId="2" borderId="1" xfId="0" applyFont="1" applyFill="1" applyBorder="1" applyAlignment="1">
      <alignment/>
    </xf>
    <xf numFmtId="0" fontId="12" fillId="2" borderId="1" xfId="0" applyFont="1" applyFill="1" applyBorder="1" applyAlignment="1">
      <alignment/>
    </xf>
    <xf numFmtId="0" fontId="12" fillId="0" borderId="0" xfId="0" applyFont="1" applyAlignment="1">
      <alignment horizontal="center" textRotation="90"/>
    </xf>
    <xf numFmtId="178" fontId="14" fillId="3" borderId="0" xfId="0" applyNumberFormat="1" applyFont="1" applyFill="1" applyBorder="1" applyAlignment="1" applyProtection="1">
      <alignment horizontal="center" vertical="center"/>
      <protection/>
    </xf>
    <xf numFmtId="178" fontId="23" fillId="3" borderId="0" xfId="0" applyNumberFormat="1" applyFont="1" applyFill="1" applyAlignment="1" applyProtection="1">
      <alignment/>
      <protection hidden="1" locked="0"/>
    </xf>
    <xf numFmtId="178" fontId="22" fillId="3" borderId="0" xfId="0" applyNumberFormat="1" applyFont="1" applyFill="1" applyAlignment="1" applyProtection="1">
      <alignment/>
      <protection hidden="1" locked="0"/>
    </xf>
    <xf numFmtId="178" fontId="14" fillId="3" borderId="0" xfId="0" applyNumberFormat="1" applyFont="1" applyFill="1" applyAlignment="1" applyProtection="1">
      <alignment/>
      <protection hidden="1" locked="0"/>
    </xf>
    <xf numFmtId="0" fontId="14" fillId="3" borderId="0" xfId="0" applyFont="1" applyFill="1" applyAlignment="1" applyProtection="1">
      <alignment/>
      <protection hidden="1" locked="0"/>
    </xf>
    <xf numFmtId="178" fontId="0" fillId="5" borderId="1" xfId="0" applyNumberFormat="1" applyFill="1" applyBorder="1" applyAlignment="1" applyProtection="1">
      <alignment/>
      <protection/>
    </xf>
    <xf numFmtId="0" fontId="12" fillId="0" borderId="1" xfId="0" applyFont="1" applyBorder="1" applyAlignment="1">
      <alignment horizontal="center" textRotation="45"/>
    </xf>
    <xf numFmtId="0" fontId="12" fillId="2" borderId="1" xfId="0" applyFont="1" applyFill="1" applyBorder="1" applyAlignment="1">
      <alignment horizontal="center" vertical="center" textRotation="45" wrapText="1"/>
    </xf>
    <xf numFmtId="0" fontId="12" fillId="2" borderId="1" xfId="0" applyFont="1" applyFill="1" applyBorder="1" applyAlignment="1">
      <alignment horizontal="center" textRotation="45" wrapText="1"/>
    </xf>
    <xf numFmtId="0" fontId="12" fillId="2" borderId="1" xfId="0" applyFont="1" applyFill="1" applyBorder="1" applyAlignment="1">
      <alignment horizontal="center" textRotation="45" wrapText="1" shrinkToFit="1"/>
    </xf>
    <xf numFmtId="0" fontId="12" fillId="2" borderId="0" xfId="0" applyFont="1" applyFill="1" applyBorder="1" applyAlignment="1">
      <alignment horizontal="center" textRotation="45" wrapText="1" shrinkToFit="1"/>
    </xf>
    <xf numFmtId="0" fontId="12" fillId="0" borderId="0" xfId="0" applyFont="1" applyAlignment="1" applyProtection="1">
      <alignment horizontal="center" textRotation="45"/>
      <protection locked="0"/>
    </xf>
    <xf numFmtId="0" fontId="12" fillId="2" borderId="0" xfId="0" applyFont="1" applyFill="1" applyBorder="1" applyAlignment="1">
      <alignment horizontal="center" textRotation="45" wrapText="1"/>
    </xf>
    <xf numFmtId="0" fontId="14" fillId="3" borderId="19" xfId="0" applyFont="1" applyFill="1" applyBorder="1" applyAlignment="1" applyProtection="1">
      <alignment horizontal="center" wrapText="1"/>
      <protection/>
    </xf>
    <xf numFmtId="0" fontId="28" fillId="3" borderId="23" xfId="0" applyFont="1" applyFill="1" applyBorder="1" applyAlignment="1" applyProtection="1">
      <alignment horizontal="center"/>
      <protection/>
    </xf>
    <xf numFmtId="0" fontId="28" fillId="3" borderId="26" xfId="0" applyFont="1" applyFill="1" applyBorder="1" applyAlignment="1" applyProtection="1">
      <alignment horizontal="center"/>
      <protection/>
    </xf>
    <xf numFmtId="0" fontId="28" fillId="3" borderId="27" xfId="0" applyFont="1" applyFill="1" applyBorder="1" applyAlignment="1" applyProtection="1">
      <alignment horizontal="center"/>
      <protection/>
    </xf>
    <xf numFmtId="0" fontId="14" fillId="3" borderId="0" xfId="0" applyFont="1" applyFill="1" applyBorder="1" applyAlignment="1" applyProtection="1">
      <alignment wrapText="1"/>
      <protection/>
    </xf>
    <xf numFmtId="0" fontId="14" fillId="3" borderId="0" xfId="0" applyFont="1" applyFill="1" applyBorder="1" applyAlignment="1" applyProtection="1">
      <alignment horizontal="center" wrapText="1"/>
      <protection/>
    </xf>
    <xf numFmtId="177" fontId="26" fillId="0" borderId="11" xfId="0" applyNumberFormat="1" applyFont="1" applyFill="1" applyBorder="1" applyAlignment="1" applyProtection="1">
      <alignment/>
      <protection/>
    </xf>
    <xf numFmtId="168" fontId="27" fillId="3" borderId="0" xfId="0" applyNumberFormat="1"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15" fillId="3" borderId="0" xfId="0" applyFont="1" applyFill="1" applyBorder="1" applyAlignment="1" applyProtection="1">
      <alignment textRotation="90" shrinkToFit="1"/>
      <protection hidden="1"/>
    </xf>
    <xf numFmtId="0" fontId="7" fillId="0" borderId="31" xfId="0" applyFont="1" applyFill="1" applyBorder="1" applyAlignment="1" applyProtection="1">
      <alignment horizontal="center" vertical="center" wrapText="1"/>
      <protection/>
    </xf>
    <xf numFmtId="0" fontId="0" fillId="3" borderId="35" xfId="0" applyFill="1" applyBorder="1" applyAlignment="1" applyProtection="1">
      <alignment/>
      <protection/>
    </xf>
    <xf numFmtId="0" fontId="30" fillId="3" borderId="0" xfId="0" applyFont="1" applyFill="1" applyAlignment="1" applyProtection="1">
      <alignment horizontal="center" vertical="center" wrapText="1"/>
      <protection/>
    </xf>
    <xf numFmtId="174" fontId="0" fillId="0" borderId="26" xfId="0" applyNumberFormat="1" applyBorder="1" applyAlignment="1">
      <alignment wrapText="1"/>
    </xf>
    <xf numFmtId="0" fontId="31" fillId="3" borderId="0" xfId="0" applyFont="1" applyFill="1" applyAlignment="1" applyProtection="1">
      <alignment horizontal="center" vertical="top" wrapText="1"/>
      <protection/>
    </xf>
    <xf numFmtId="0" fontId="14" fillId="3" borderId="36" xfId="0" applyFont="1" applyFill="1" applyBorder="1" applyAlignment="1" applyProtection="1">
      <alignment horizontal="center" wrapText="1"/>
      <protection/>
    </xf>
    <xf numFmtId="0" fontId="14" fillId="3" borderId="37" xfId="0" applyFont="1" applyFill="1" applyBorder="1" applyAlignment="1" applyProtection="1">
      <alignment horizontal="center" wrapText="1"/>
      <protection/>
    </xf>
    <xf numFmtId="0" fontId="20" fillId="0" borderId="0" xfId="0" applyFont="1" applyBorder="1" applyAlignment="1">
      <alignment wrapText="1"/>
    </xf>
    <xf numFmtId="9" fontId="20" fillId="0" borderId="0" xfId="0" applyNumberFormat="1" applyFont="1" applyBorder="1" applyAlignment="1">
      <alignment/>
    </xf>
    <xf numFmtId="9" fontId="20" fillId="0" borderId="23" xfId="0" applyNumberFormat="1" applyFont="1" applyBorder="1" applyAlignment="1">
      <alignment/>
    </xf>
    <xf numFmtId="0" fontId="2" fillId="4" borderId="1" xfId="0" applyFont="1" applyFill="1" applyBorder="1" applyAlignment="1">
      <alignment/>
    </xf>
    <xf numFmtId="0" fontId="32" fillId="4" borderId="1" xfId="0" applyFont="1" applyFill="1" applyBorder="1" applyAlignment="1">
      <alignment/>
    </xf>
    <xf numFmtId="0" fontId="0" fillId="0" borderId="0" xfId="0" applyBorder="1" applyAlignment="1">
      <alignment/>
    </xf>
    <xf numFmtId="0" fontId="20" fillId="0" borderId="38" xfId="0" applyFont="1" applyBorder="1" applyAlignment="1">
      <alignment wrapText="1"/>
    </xf>
    <xf numFmtId="0" fontId="13" fillId="0" borderId="39" xfId="0" applyFont="1" applyBorder="1" applyAlignment="1">
      <alignment/>
    </xf>
    <xf numFmtId="0" fontId="13" fillId="0" borderId="40" xfId="0" applyFont="1" applyBorder="1" applyAlignment="1">
      <alignment/>
    </xf>
    <xf numFmtId="0" fontId="20" fillId="0" borderId="41" xfId="0" applyFont="1" applyBorder="1" applyAlignment="1">
      <alignment/>
    </xf>
    <xf numFmtId="0" fontId="13" fillId="0" borderId="41" xfId="0" applyFont="1" applyBorder="1" applyAlignment="1">
      <alignment/>
    </xf>
    <xf numFmtId="0" fontId="13" fillId="0" borderId="42" xfId="0" applyFont="1" applyBorder="1" applyAlignment="1">
      <alignment/>
    </xf>
    <xf numFmtId="0" fontId="14" fillId="6" borderId="12" xfId="0" applyFont="1" applyFill="1" applyBorder="1" applyAlignment="1" applyProtection="1">
      <alignment/>
      <protection hidden="1"/>
    </xf>
    <xf numFmtId="0" fontId="25" fillId="2" borderId="1" xfId="0" applyFont="1" applyFill="1" applyBorder="1" applyAlignment="1">
      <alignment horizontal="right"/>
    </xf>
    <xf numFmtId="0" fontId="2" fillId="2" borderId="3" xfId="0" applyFont="1" applyFill="1" applyBorder="1" applyAlignment="1" applyProtection="1">
      <alignment horizontal="left" wrapText="1"/>
      <protection/>
    </xf>
    <xf numFmtId="0" fontId="19" fillId="4" borderId="12" xfId="0" applyFont="1" applyFill="1" applyBorder="1" applyAlignment="1" applyProtection="1">
      <alignment wrapText="1"/>
      <protection locked="0"/>
    </xf>
    <xf numFmtId="0" fontId="0" fillId="4" borderId="12" xfId="0" applyFont="1" applyFill="1" applyBorder="1" applyAlignment="1" applyProtection="1">
      <alignment wrapText="1"/>
      <protection locked="0"/>
    </xf>
    <xf numFmtId="177" fontId="9" fillId="0" borderId="26" xfId="0" applyNumberFormat="1" applyFont="1" applyFill="1" applyBorder="1" applyAlignment="1" applyProtection="1">
      <alignment horizontal="right"/>
      <protection/>
    </xf>
    <xf numFmtId="0" fontId="10" fillId="2" borderId="27" xfId="0" applyFont="1" applyFill="1" applyBorder="1" applyAlignment="1" applyProtection="1">
      <alignment horizontal="right"/>
      <protection/>
    </xf>
    <xf numFmtId="0" fontId="19" fillId="4" borderId="5" xfId="0" applyFont="1" applyFill="1" applyBorder="1" applyAlignment="1" applyProtection="1">
      <alignment/>
      <protection locked="0"/>
    </xf>
    <xf numFmtId="0" fontId="19" fillId="4" borderId="14" xfId="0" applyFont="1" applyFill="1" applyBorder="1" applyAlignment="1" applyProtection="1">
      <alignment horizontal="left"/>
      <protection locked="0"/>
    </xf>
    <xf numFmtId="0" fontId="10" fillId="4" borderId="5" xfId="0" applyFont="1" applyFill="1" applyBorder="1" applyAlignment="1" applyProtection="1">
      <alignment horizontal="left"/>
      <protection locked="0"/>
    </xf>
    <xf numFmtId="0" fontId="0" fillId="0" borderId="0" xfId="0" applyFont="1" applyAlignment="1">
      <alignment/>
    </xf>
    <xf numFmtId="0" fontId="2" fillId="0" borderId="0" xfId="0" applyFont="1" applyAlignment="1">
      <alignment/>
    </xf>
    <xf numFmtId="2" fontId="0" fillId="0" borderId="0" xfId="0" applyNumberFormat="1" applyFont="1" applyAlignment="1">
      <alignment/>
    </xf>
    <xf numFmtId="0" fontId="2" fillId="0" borderId="0" xfId="0" applyFont="1" applyBorder="1" applyAlignment="1">
      <alignment/>
    </xf>
    <xf numFmtId="0" fontId="2" fillId="0" borderId="43" xfId="0" applyFont="1" applyBorder="1" applyAlignment="1">
      <alignment/>
    </xf>
    <xf numFmtId="0" fontId="2" fillId="0" borderId="44" xfId="0" applyFont="1" applyBorder="1" applyAlignment="1">
      <alignment/>
    </xf>
    <xf numFmtId="0" fontId="0" fillId="0" borderId="45" xfId="0" applyFont="1" applyBorder="1" applyAlignment="1">
      <alignment/>
    </xf>
    <xf numFmtId="0" fontId="33"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2" fillId="0" borderId="50" xfId="0" applyFont="1" applyBorder="1" applyAlignment="1">
      <alignment wrapText="1"/>
    </xf>
    <xf numFmtId="0" fontId="2" fillId="0" borderId="45" xfId="0" applyFont="1" applyBorder="1" applyAlignment="1">
      <alignment/>
    </xf>
    <xf numFmtId="0" fontId="2" fillId="0" borderId="44" xfId="0" applyFont="1" applyBorder="1" applyAlignment="1">
      <alignment wrapText="1"/>
    </xf>
    <xf numFmtId="2" fontId="0" fillId="2" borderId="2" xfId="0" applyNumberFormat="1" applyFill="1" applyBorder="1" applyAlignment="1" applyProtection="1">
      <alignment/>
      <protection/>
    </xf>
    <xf numFmtId="2" fontId="0" fillId="2" borderId="1" xfId="0" applyNumberFormat="1" applyFill="1" applyBorder="1" applyAlignment="1" applyProtection="1">
      <alignment/>
      <protection/>
    </xf>
    <xf numFmtId="2" fontId="0" fillId="0" borderId="2" xfId="0" applyNumberFormat="1" applyFill="1" applyBorder="1" applyAlignment="1" applyProtection="1">
      <alignment/>
      <protection/>
    </xf>
    <xf numFmtId="2" fontId="0" fillId="0" borderId="1" xfId="0" applyNumberFormat="1" applyFill="1" applyBorder="1" applyAlignment="1" applyProtection="1">
      <alignment/>
      <protection/>
    </xf>
    <xf numFmtId="0" fontId="7" fillId="3" borderId="51" xfId="0" applyFont="1" applyFill="1" applyBorder="1" applyAlignment="1" applyProtection="1">
      <alignment horizontal="center" wrapText="1"/>
      <protection/>
    </xf>
    <xf numFmtId="0" fontId="10" fillId="3" borderId="9" xfId="0" applyNumberFormat="1" applyFont="1" applyFill="1" applyBorder="1" applyAlignment="1" applyProtection="1">
      <alignment wrapText="1"/>
      <protection/>
    </xf>
    <xf numFmtId="0" fontId="14" fillId="3" borderId="0" xfId="0" applyFont="1" applyFill="1" applyBorder="1" applyAlignment="1" applyProtection="1">
      <alignment/>
      <protection/>
    </xf>
    <xf numFmtId="0" fontId="21" fillId="3" borderId="0" xfId="0" applyFont="1" applyFill="1" applyBorder="1" applyAlignment="1" applyProtection="1">
      <alignment horizontal="center" vertical="center"/>
      <protection/>
    </xf>
    <xf numFmtId="0" fontId="13" fillId="0" borderId="45" xfId="0" applyFont="1" applyBorder="1" applyAlignment="1">
      <alignment/>
    </xf>
    <xf numFmtId="0" fontId="13" fillId="0" borderId="46" xfId="0" applyFont="1" applyBorder="1" applyAlignment="1">
      <alignment/>
    </xf>
    <xf numFmtId="0" fontId="20" fillId="0" borderId="0" xfId="0" applyFont="1" applyBorder="1" applyAlignment="1">
      <alignment/>
    </xf>
    <xf numFmtId="0" fontId="13" fillId="0" borderId="47" xfId="0" applyFont="1" applyBorder="1" applyAlignment="1">
      <alignment/>
    </xf>
    <xf numFmtId="0" fontId="20" fillId="0" borderId="48" xfId="0" applyFont="1" applyBorder="1" applyAlignment="1">
      <alignment/>
    </xf>
    <xf numFmtId="0" fontId="13" fillId="0" borderId="48" xfId="0" applyFont="1" applyBorder="1" applyAlignment="1">
      <alignment/>
    </xf>
    <xf numFmtId="0" fontId="13" fillId="0" borderId="49" xfId="0" applyFont="1" applyBorder="1" applyAlignment="1">
      <alignment/>
    </xf>
    <xf numFmtId="0" fontId="2" fillId="3" borderId="0" xfId="0" applyFont="1" applyFill="1" applyAlignment="1" applyProtection="1">
      <alignment horizontal="right"/>
      <protection/>
    </xf>
    <xf numFmtId="0" fontId="10" fillId="2" borderId="1" xfId="0" applyFont="1" applyFill="1" applyBorder="1" applyAlignment="1" applyProtection="1">
      <alignment/>
      <protection/>
    </xf>
    <xf numFmtId="0" fontId="0" fillId="3" borderId="1" xfId="0" applyFill="1" applyBorder="1" applyAlignment="1" applyProtection="1">
      <alignment/>
      <protection/>
    </xf>
    <xf numFmtId="176" fontId="10" fillId="2" borderId="1" xfId="0" applyNumberFormat="1" applyFont="1" applyFill="1" applyBorder="1" applyAlignment="1" applyProtection="1">
      <alignment/>
      <protection/>
    </xf>
    <xf numFmtId="174" fontId="0" fillId="0" borderId="1" xfId="0" applyNumberFormat="1" applyFill="1" applyBorder="1" applyAlignment="1" applyProtection="1">
      <alignment/>
      <protection/>
    </xf>
    <xf numFmtId="0" fontId="0" fillId="3" borderId="1" xfId="0" applyFill="1" applyBorder="1" applyAlignment="1" applyProtection="1">
      <alignment horizontal="right"/>
      <protection/>
    </xf>
    <xf numFmtId="177" fontId="9" fillId="0" borderId="1" xfId="0" applyNumberFormat="1" applyFont="1" applyFill="1" applyBorder="1" applyAlignment="1" applyProtection="1">
      <alignment/>
      <protection/>
    </xf>
    <xf numFmtId="0" fontId="0" fillId="0" borderId="44" xfId="0" applyFont="1" applyBorder="1" applyAlignment="1">
      <alignment/>
    </xf>
    <xf numFmtId="0" fontId="0" fillId="0" borderId="47" xfId="0" applyFont="1" applyFill="1" applyBorder="1" applyAlignment="1">
      <alignment/>
    </xf>
    <xf numFmtId="0" fontId="0" fillId="0" borderId="45" xfId="0" applyFont="1" applyFill="1" applyBorder="1" applyAlignment="1">
      <alignment/>
    </xf>
    <xf numFmtId="0" fontId="34" fillId="3" borderId="0" xfId="0" applyFont="1" applyFill="1" applyBorder="1" applyAlignment="1" applyProtection="1">
      <alignment horizontal="center" textRotation="90"/>
      <protection hidden="1"/>
    </xf>
    <xf numFmtId="0" fontId="0" fillId="7" borderId="0" xfId="0" applyFont="1" applyFill="1" applyAlignment="1" applyProtection="1">
      <alignment horizontal="left"/>
      <protection/>
    </xf>
    <xf numFmtId="0" fontId="14" fillId="7" borderId="0" xfId="0" applyFont="1" applyFill="1" applyBorder="1" applyAlignment="1" applyProtection="1">
      <alignment/>
      <protection/>
    </xf>
    <xf numFmtId="0" fontId="0" fillId="7" borderId="0" xfId="0" applyFill="1" applyAlignment="1" applyProtection="1">
      <alignment/>
      <protection/>
    </xf>
    <xf numFmtId="0" fontId="21" fillId="7" borderId="0" xfId="0" applyFont="1" applyFill="1" applyBorder="1" applyAlignment="1" applyProtection="1">
      <alignment horizontal="center" vertical="center"/>
      <protection/>
    </xf>
    <xf numFmtId="178" fontId="2" fillId="7" borderId="0" xfId="0" applyNumberFormat="1" applyFont="1" applyFill="1" applyAlignment="1" applyProtection="1">
      <alignment/>
      <protection/>
    </xf>
    <xf numFmtId="0" fontId="14" fillId="7" borderId="0" xfId="0" applyFont="1" applyFill="1" applyAlignment="1" applyProtection="1">
      <alignment/>
      <protection hidden="1"/>
    </xf>
    <xf numFmtId="174" fontId="10" fillId="8" borderId="1" xfId="0" applyNumberFormat="1" applyFont="1" applyFill="1" applyBorder="1" applyAlignment="1" applyProtection="1">
      <alignment/>
      <protection/>
    </xf>
    <xf numFmtId="2" fontId="0" fillId="9" borderId="2" xfId="0" applyNumberFormat="1" applyFill="1" applyBorder="1" applyAlignment="1" applyProtection="1">
      <alignment/>
      <protection/>
    </xf>
    <xf numFmtId="2" fontId="0" fillId="9" borderId="1" xfId="0" applyNumberFormat="1" applyFill="1" applyBorder="1" applyAlignment="1" applyProtection="1">
      <alignment/>
      <protection/>
    </xf>
    <xf numFmtId="0" fontId="0" fillId="9" borderId="1" xfId="0" applyFill="1" applyBorder="1" applyAlignment="1" applyProtection="1">
      <alignment/>
      <protection/>
    </xf>
    <xf numFmtId="0" fontId="0" fillId="10" borderId="1" xfId="0" applyFill="1" applyBorder="1" applyAlignment="1" applyProtection="1">
      <alignment/>
      <protection/>
    </xf>
    <xf numFmtId="0" fontId="2" fillId="2" borderId="52" xfId="0" applyFont="1" applyFill="1" applyBorder="1" applyAlignment="1" applyProtection="1">
      <alignment wrapText="1"/>
      <protection/>
    </xf>
    <xf numFmtId="0" fontId="10" fillId="4" borderId="1" xfId="0" applyFont="1" applyFill="1" applyBorder="1" applyAlignment="1" applyProtection="1">
      <alignment horizontal="left"/>
      <protection locked="0"/>
    </xf>
    <xf numFmtId="0" fontId="0" fillId="4" borderId="2" xfId="0" applyFill="1" applyBorder="1" applyAlignment="1" applyProtection="1">
      <alignment/>
      <protection locked="0"/>
    </xf>
    <xf numFmtId="0" fontId="34" fillId="3" borderId="0" xfId="0" applyFont="1" applyFill="1" applyBorder="1" applyAlignment="1" applyProtection="1">
      <alignment horizontal="center" textRotation="90"/>
      <protection hidden="1" locked="0"/>
    </xf>
    <xf numFmtId="0" fontId="12" fillId="11" borderId="2" xfId="0" applyFont="1" applyFill="1" applyBorder="1" applyAlignment="1" applyProtection="1">
      <alignment horizontal="center"/>
      <protection/>
    </xf>
    <xf numFmtId="0" fontId="12" fillId="11" borderId="1" xfId="0" applyFont="1" applyFill="1" applyBorder="1" applyAlignment="1" applyProtection="1">
      <alignment horizontal="center"/>
      <protection/>
    </xf>
    <xf numFmtId="173" fontId="35" fillId="12" borderId="1" xfId="0" applyNumberFormat="1" applyFont="1" applyFill="1" applyBorder="1" applyAlignment="1" applyProtection="1">
      <alignment horizontal="center"/>
      <protection/>
    </xf>
    <xf numFmtId="2" fontId="0" fillId="11" borderId="2" xfId="0" applyNumberFormat="1" applyFill="1" applyBorder="1" applyAlignment="1" applyProtection="1">
      <alignment/>
      <protection/>
    </xf>
    <xf numFmtId="2" fontId="0" fillId="11" borderId="1" xfId="0" applyNumberFormat="1" applyFill="1" applyBorder="1" applyAlignment="1" applyProtection="1">
      <alignment/>
      <protection/>
    </xf>
    <xf numFmtId="0" fontId="2" fillId="0" borderId="46" xfId="0" applyFont="1" applyBorder="1" applyAlignment="1" applyProtection="1">
      <alignment/>
      <protection locked="0"/>
    </xf>
    <xf numFmtId="0" fontId="0" fillId="0" borderId="46" xfId="0" applyFont="1" applyBorder="1" applyAlignment="1" applyProtection="1">
      <alignment/>
      <protection locked="0"/>
    </xf>
    <xf numFmtId="0" fontId="0" fillId="0" borderId="49" xfId="0" applyFont="1" applyBorder="1" applyAlignment="1" applyProtection="1">
      <alignment/>
      <protection locked="0"/>
    </xf>
    <xf numFmtId="0" fontId="2" fillId="0" borderId="0" xfId="0" applyFont="1" applyAlignment="1" applyProtection="1">
      <alignment/>
      <protection locked="0"/>
    </xf>
    <xf numFmtId="0" fontId="19" fillId="3" borderId="0" xfId="0" applyFont="1" applyFill="1" applyAlignment="1" applyProtection="1">
      <alignment horizontal="right"/>
      <protection/>
    </xf>
    <xf numFmtId="0" fontId="10" fillId="2" borderId="11" xfId="0" applyFont="1" applyFill="1" applyBorder="1" applyAlignment="1" applyProtection="1">
      <alignment/>
      <protection/>
    </xf>
    <xf numFmtId="174" fontId="10" fillId="8" borderId="26" xfId="0" applyNumberFormat="1" applyFont="1" applyFill="1" applyBorder="1" applyAlignment="1" applyProtection="1">
      <alignment/>
      <protection/>
    </xf>
    <xf numFmtId="176" fontId="10" fillId="2" borderId="26" xfId="0" applyNumberFormat="1" applyFont="1" applyFill="1" applyBorder="1" applyAlignment="1" applyProtection="1">
      <alignment/>
      <protection/>
    </xf>
    <xf numFmtId="0" fontId="0" fillId="6" borderId="12" xfId="0" applyFill="1" applyBorder="1" applyAlignment="1" applyProtection="1">
      <alignment/>
      <protection locked="0"/>
    </xf>
    <xf numFmtId="0" fontId="0" fillId="6" borderId="1" xfId="0" applyFill="1" applyBorder="1" applyAlignment="1" applyProtection="1">
      <alignment/>
      <protection/>
    </xf>
    <xf numFmtId="0" fontId="14" fillId="3" borderId="0" xfId="0" applyNumberFormat="1" applyFont="1" applyFill="1" applyBorder="1" applyAlignment="1" applyProtection="1">
      <alignment/>
      <protection locked="0"/>
    </xf>
    <xf numFmtId="0" fontId="7" fillId="4" borderId="20" xfId="0" applyFont="1" applyFill="1" applyBorder="1" applyAlignment="1" applyProtection="1">
      <alignment horizontal="center" wrapText="1"/>
      <protection/>
    </xf>
    <xf numFmtId="178" fontId="0" fillId="3" borderId="17" xfId="0" applyNumberFormat="1" applyFill="1" applyBorder="1" applyAlignment="1" applyProtection="1">
      <alignment/>
      <protection/>
    </xf>
    <xf numFmtId="168" fontId="27" fillId="3" borderId="2" xfId="0" applyNumberFormat="1" applyFont="1" applyFill="1" applyBorder="1" applyAlignment="1" applyProtection="1">
      <alignment horizontal="center" vertical="center" wrapText="1"/>
      <protection/>
    </xf>
    <xf numFmtId="0" fontId="13" fillId="0" borderId="21" xfId="0" applyFont="1" applyBorder="1" applyAlignment="1" applyProtection="1">
      <alignment/>
      <protection locked="0"/>
    </xf>
    <xf numFmtId="0" fontId="7" fillId="3" borderId="53" xfId="0" applyFont="1" applyFill="1" applyBorder="1" applyAlignment="1" applyProtection="1">
      <alignment horizontal="center" wrapText="1"/>
      <protection/>
    </xf>
    <xf numFmtId="0" fontId="18" fillId="3" borderId="41" xfId="0" applyFont="1" applyFill="1" applyBorder="1" applyAlignment="1" applyProtection="1">
      <alignment horizontal="left" indent="1"/>
      <protection/>
    </xf>
    <xf numFmtId="0" fontId="18" fillId="3" borderId="41" xfId="0" applyFont="1" applyFill="1" applyBorder="1" applyAlignment="1">
      <alignment horizontal="left" indent="1"/>
    </xf>
    <xf numFmtId="0" fontId="0" fillId="0" borderId="41" xfId="0" applyBorder="1" applyAlignment="1">
      <alignment horizontal="left" indent="1"/>
    </xf>
    <xf numFmtId="1" fontId="14" fillId="3" borderId="19" xfId="0" applyNumberFormat="1" applyFont="1" applyFill="1" applyBorder="1" applyAlignment="1" applyProtection="1">
      <alignment/>
      <protection locked="0"/>
    </xf>
    <xf numFmtId="0" fontId="14" fillId="0" borderId="19" xfId="0" applyFont="1" applyBorder="1" applyAlignment="1">
      <alignment/>
    </xf>
    <xf numFmtId="0" fontId="10" fillId="3" borderId="0" xfId="0" applyFont="1" applyFill="1" applyAlignment="1" applyProtection="1">
      <alignment horizontal="right"/>
      <protection/>
    </xf>
    <xf numFmtId="0" fontId="0" fillId="2" borderId="21" xfId="0" applyFill="1" applyBorder="1" applyAlignment="1" applyProtection="1">
      <alignment horizontal="right"/>
      <protection/>
    </xf>
    <xf numFmtId="0" fontId="7" fillId="3" borderId="54" xfId="0" applyFont="1" applyFill="1" applyBorder="1" applyAlignment="1" applyProtection="1">
      <alignment horizontal="center" wrapText="1"/>
      <protection/>
    </xf>
    <xf numFmtId="0" fontId="0" fillId="0" borderId="55" xfId="0" applyFill="1" applyBorder="1" applyAlignment="1" applyProtection="1">
      <alignment/>
      <protection/>
    </xf>
    <xf numFmtId="0" fontId="0" fillId="0" borderId="56" xfId="0" applyBorder="1" applyAlignment="1">
      <alignment/>
    </xf>
    <xf numFmtId="0" fontId="0" fillId="0" borderId="30" xfId="0" applyFill="1" applyBorder="1" applyAlignment="1" applyProtection="1">
      <alignment/>
      <protection/>
    </xf>
    <xf numFmtId="0" fontId="0" fillId="0" borderId="11" xfId="0" applyBorder="1" applyAlignment="1">
      <alignment/>
    </xf>
    <xf numFmtId="0" fontId="19" fillId="0" borderId="57" xfId="0" applyFont="1" applyFill="1" applyBorder="1" applyAlignment="1" applyProtection="1">
      <alignment wrapText="1"/>
      <protection/>
    </xf>
    <xf numFmtId="0" fontId="0" fillId="0" borderId="58" xfId="0" applyBorder="1" applyAlignment="1">
      <alignment/>
    </xf>
    <xf numFmtId="0" fontId="0" fillId="0" borderId="59"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2" xfId="0" applyBorder="1" applyAlignment="1">
      <alignment/>
    </xf>
    <xf numFmtId="0" fontId="2" fillId="0" borderId="30" xfId="0" applyFont="1" applyFill="1" applyBorder="1" applyAlignment="1" applyProtection="1">
      <alignment horizontal="right"/>
      <protection locked="0"/>
    </xf>
    <xf numFmtId="0" fontId="0" fillId="0" borderId="60" xfId="0" applyBorder="1" applyAlignment="1" applyProtection="1">
      <alignment/>
      <protection locked="0"/>
    </xf>
    <xf numFmtId="0" fontId="0" fillId="0" borderId="11" xfId="0" applyBorder="1" applyAlignment="1" applyProtection="1">
      <alignment/>
      <protection locked="0"/>
    </xf>
    <xf numFmtId="14" fontId="2" fillId="0" borderId="30" xfId="0" applyNumberFormat="1" applyFont="1" applyFill="1" applyBorder="1" applyAlignment="1" applyProtection="1">
      <alignment horizontal="right"/>
      <protection locked="0"/>
    </xf>
    <xf numFmtId="0" fontId="14" fillId="3" borderId="0" xfId="0" applyFont="1" applyFill="1" applyBorder="1" applyAlignment="1" applyProtection="1">
      <alignment horizontal="center" vertical="center"/>
      <protection/>
    </xf>
    <xf numFmtId="168" fontId="36" fillId="0" borderId="61" xfId="0" applyNumberFormat="1" applyFont="1" applyFill="1" applyBorder="1" applyAlignment="1" applyProtection="1">
      <alignment horizontal="center" vertical="center" wrapText="1"/>
      <protection/>
    </xf>
    <xf numFmtId="0" fontId="36" fillId="0" borderId="62" xfId="0" applyFont="1" applyBorder="1" applyAlignment="1">
      <alignment wrapText="1"/>
    </xf>
    <xf numFmtId="0" fontId="10" fillId="4" borderId="41" xfId="0" applyFont="1" applyFill="1" applyBorder="1" applyAlignment="1" applyProtection="1">
      <alignment/>
      <protection/>
    </xf>
    <xf numFmtId="0" fontId="10" fillId="4" borderId="41" xfId="0" applyFont="1" applyFill="1" applyBorder="1" applyAlignment="1" applyProtection="1">
      <alignment horizontal="center"/>
      <protection/>
    </xf>
    <xf numFmtId="0" fontId="10" fillId="4" borderId="0" xfId="0" applyFont="1" applyFill="1" applyBorder="1" applyAlignment="1" applyProtection="1">
      <alignment horizontal="center"/>
      <protection/>
    </xf>
    <xf numFmtId="0" fontId="10" fillId="0" borderId="0" xfId="0" applyFont="1" applyBorder="1" applyAlignment="1" applyProtection="1">
      <alignment horizontal="center"/>
      <protection/>
    </xf>
    <xf numFmtId="0" fontId="10" fillId="0" borderId="58" xfId="0" applyFont="1" applyFill="1" applyBorder="1" applyAlignment="1" applyProtection="1">
      <alignment horizontal="right"/>
      <protection/>
    </xf>
    <xf numFmtId="0" fontId="10" fillId="0" borderId="59" xfId="0" applyFont="1" applyFill="1" applyBorder="1" applyAlignment="1" applyProtection="1">
      <alignment horizontal="right"/>
      <protection/>
    </xf>
    <xf numFmtId="0" fontId="10" fillId="0" borderId="0" xfId="0" applyFont="1" applyFill="1" applyAlignment="1" applyProtection="1">
      <alignment horizontal="right"/>
      <protection/>
    </xf>
    <xf numFmtId="0" fontId="10" fillId="0" borderId="21" xfId="0" applyFont="1" applyFill="1" applyBorder="1" applyAlignment="1" applyProtection="1">
      <alignment horizontal="right"/>
      <protection/>
    </xf>
    <xf numFmtId="0" fontId="2" fillId="0" borderId="55" xfId="0" applyFont="1" applyFill="1" applyBorder="1" applyAlignment="1" applyProtection="1">
      <alignment horizontal="right"/>
      <protection locked="0"/>
    </xf>
    <xf numFmtId="0" fontId="0" fillId="0" borderId="63" xfId="0" applyBorder="1" applyAlignment="1" applyProtection="1">
      <alignment/>
      <protection locked="0"/>
    </xf>
    <xf numFmtId="0" fontId="0" fillId="0" borderId="56" xfId="0" applyBorder="1" applyAlignment="1" applyProtection="1">
      <alignment/>
      <protection locked="0"/>
    </xf>
    <xf numFmtId="0" fontId="29" fillId="3" borderId="0" xfId="0" applyFont="1" applyFill="1" applyAlignment="1" applyProtection="1">
      <alignment horizontal="center" vertical="center"/>
      <protection/>
    </xf>
    <xf numFmtId="0" fontId="29" fillId="0" borderId="0" xfId="0" applyFont="1" applyAlignment="1">
      <alignment horizontal="center"/>
    </xf>
    <xf numFmtId="0" fontId="21" fillId="3" borderId="19" xfId="0" applyFont="1" applyFill="1" applyBorder="1" applyAlignment="1" applyProtection="1">
      <alignment horizontal="center" vertical="center"/>
      <protection/>
    </xf>
    <xf numFmtId="0" fontId="21" fillId="0" borderId="19" xfId="0" applyFont="1" applyBorder="1" applyAlignment="1">
      <alignment horizontal="center" vertical="center"/>
    </xf>
    <xf numFmtId="0" fontId="8" fillId="0" borderId="30" xfId="0" applyFont="1" applyFill="1" applyBorder="1" applyAlignment="1" applyProtection="1">
      <alignment horizontal="center"/>
      <protection/>
    </xf>
    <xf numFmtId="0" fontId="0" fillId="0" borderId="60" xfId="0" applyBorder="1" applyAlignment="1">
      <alignment horizontal="center"/>
    </xf>
    <xf numFmtId="0" fontId="0" fillId="0" borderId="60" xfId="0" applyBorder="1" applyAlignment="1">
      <alignment/>
    </xf>
    <xf numFmtId="177" fontId="9" fillId="0" borderId="64" xfId="0" applyNumberFormat="1" applyFont="1" applyFill="1" applyBorder="1" applyAlignment="1" applyProtection="1">
      <alignment/>
      <protection/>
    </xf>
    <xf numFmtId="0" fontId="0" fillId="0" borderId="29" xfId="0" applyBorder="1" applyAlignment="1">
      <alignment/>
    </xf>
    <xf numFmtId="0" fontId="14" fillId="3" borderId="19" xfId="0" applyNumberFormat="1" applyFont="1" applyFill="1" applyBorder="1" applyAlignment="1" applyProtection="1">
      <alignment/>
      <protection locked="0"/>
    </xf>
    <xf numFmtId="0" fontId="14" fillId="0" borderId="19" xfId="0" applyNumberFormat="1" applyFont="1" applyBorder="1" applyAlignment="1">
      <alignment/>
    </xf>
    <xf numFmtId="1" fontId="14" fillId="3" borderId="0" xfId="0" applyNumberFormat="1" applyFont="1" applyFill="1" applyBorder="1" applyAlignment="1" applyProtection="1">
      <alignment/>
      <protection locked="0"/>
    </xf>
    <xf numFmtId="0" fontId="14" fillId="0" borderId="0" xfId="0" applyFont="1" applyBorder="1" applyAlignment="1">
      <alignment/>
    </xf>
    <xf numFmtId="0" fontId="14" fillId="3" borderId="0" xfId="0" applyFont="1" applyFill="1" applyBorder="1" applyAlignment="1" applyProtection="1">
      <alignment/>
      <protection/>
    </xf>
    <xf numFmtId="0" fontId="0" fillId="0" borderId="0" xfId="0" applyAlignment="1" applyProtection="1">
      <alignment/>
      <protection/>
    </xf>
    <xf numFmtId="0" fontId="8" fillId="0" borderId="18" xfId="0" applyFont="1" applyFill="1" applyBorder="1" applyAlignment="1" applyProtection="1">
      <alignment horizontal="center"/>
      <protection/>
    </xf>
    <xf numFmtId="0" fontId="0" fillId="0" borderId="19" xfId="0" applyBorder="1" applyAlignment="1">
      <alignment horizontal="center"/>
    </xf>
    <xf numFmtId="0" fontId="10" fillId="12" borderId="41" xfId="0" applyFont="1" applyFill="1" applyBorder="1" applyAlignment="1" applyProtection="1">
      <alignment horizontal="center"/>
      <protection/>
    </xf>
    <xf numFmtId="168" fontId="11" fillId="0" borderId="65" xfId="0" applyNumberFormat="1" applyFont="1" applyFill="1" applyBorder="1" applyAlignment="1" applyProtection="1">
      <alignment horizontal="center" vertical="center"/>
      <protection/>
    </xf>
    <xf numFmtId="168" fontId="11" fillId="0" borderId="62" xfId="0" applyNumberFormat="1" applyFont="1" applyFill="1" applyBorder="1" applyAlignment="1" applyProtection="1">
      <alignment horizontal="center" vertical="center"/>
      <protection/>
    </xf>
    <xf numFmtId="0" fontId="10" fillId="3" borderId="0" xfId="0" applyFont="1" applyFill="1" applyAlignment="1" applyProtection="1">
      <alignment horizontal="right" vertical="center"/>
      <protection/>
    </xf>
    <xf numFmtId="0" fontId="0" fillId="0" borderId="0" xfId="0" applyAlignment="1">
      <alignment horizontal="right" vertical="center"/>
    </xf>
    <xf numFmtId="0" fontId="0" fillId="0" borderId="46" xfId="0" applyBorder="1" applyAlignment="1">
      <alignment horizontal="right" vertical="center"/>
    </xf>
    <xf numFmtId="0" fontId="20" fillId="0" borderId="22" xfId="0" applyFont="1" applyBorder="1" applyAlignment="1">
      <alignment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16" xfId="0" applyFont="1" applyBorder="1" applyAlignment="1">
      <alignment vertical="center" wrapText="1"/>
    </xf>
    <xf numFmtId="0" fontId="13" fillId="0" borderId="38" xfId="0" applyFont="1" applyBorder="1" applyAlignment="1">
      <alignment vertical="center" wrapText="1"/>
    </xf>
    <xf numFmtId="0" fontId="0" fillId="0" borderId="0" xfId="0" applyBorder="1" applyAlignment="1">
      <alignment vertical="center" wrapText="1"/>
    </xf>
    <xf numFmtId="0" fontId="0" fillId="0" borderId="39" xfId="0" applyBorder="1" applyAlignment="1">
      <alignment vertical="center" wrapText="1"/>
    </xf>
    <xf numFmtId="0" fontId="2" fillId="0" borderId="66" xfId="0" applyFont="1" applyBorder="1" applyAlignment="1">
      <alignment/>
    </xf>
    <xf numFmtId="0" fontId="2" fillId="0" borderId="58" xfId="0" applyFont="1" applyBorder="1" applyAlignment="1">
      <alignment/>
    </xf>
    <xf numFmtId="0" fontId="2" fillId="0" borderId="67" xfId="0" applyFont="1" applyBorder="1" applyAlignment="1">
      <alignment/>
    </xf>
  </cellXfs>
  <cellStyles count="6">
    <cellStyle name="Normal" xfId="0"/>
    <cellStyle name="Comma" xfId="15"/>
    <cellStyle name="Comma [0]" xfId="16"/>
    <cellStyle name="Currency" xfId="17"/>
    <cellStyle name="Currency [0]" xfId="18"/>
    <cellStyle name="Percent" xfId="19"/>
  </cellStyles>
  <dxfs count="15">
    <dxf>
      <font>
        <b val="0"/>
        <i/>
        <strike val="0"/>
        <color rgb="FFC0C0C0"/>
      </font>
      <fill>
        <patternFill patternType="darkDown">
          <bgColor indexed="65"/>
        </patternFill>
      </fill>
      <border/>
    </dxf>
    <dxf>
      <font>
        <b val="0"/>
        <i/>
        <strike/>
        <color rgb="FFC0C0C0"/>
      </font>
      <fill>
        <patternFill patternType="darkDown">
          <bgColor indexed="65"/>
        </patternFill>
      </fill>
      <border/>
    </dxf>
    <dxf>
      <font>
        <b/>
        <i/>
        <color rgb="FFFFFFFF"/>
      </font>
      <fill>
        <patternFill patternType="solid">
          <fgColor indexed="65"/>
          <bgColor rgb="FFFF0000"/>
        </patternFill>
      </fill>
      <border/>
    </dxf>
    <dxf>
      <font>
        <b/>
        <i/>
        <color rgb="FFFFFFFF"/>
      </font>
      <fill>
        <patternFill>
          <bgColor rgb="FFFF0000"/>
        </patternFill>
      </fill>
      <border/>
    </dxf>
    <dxf>
      <font>
        <b/>
        <i/>
        <color rgb="FF000000"/>
      </font>
      <fill>
        <patternFill>
          <bgColor rgb="FF33CCCC"/>
        </patternFill>
      </fill>
      <border/>
    </dxf>
    <dxf>
      <font>
        <color rgb="FFFFFFFF"/>
      </font>
      <fill>
        <patternFill>
          <bgColor rgb="FFFF0000"/>
        </patternFill>
      </fill>
      <border/>
    </dxf>
    <dxf>
      <font>
        <strike/>
        <color rgb="FFC0C0C0"/>
      </font>
      <fill>
        <patternFill patternType="darkDown"/>
      </fill>
      <border/>
    </dxf>
    <dxf>
      <font>
        <b/>
        <i/>
        <color rgb="FFFFFFFF"/>
      </font>
      <fill>
        <patternFill>
          <bgColor rgb="FFFF0000"/>
        </patternFill>
      </fill>
      <border>
        <left style="thin">
          <color rgb="FF000000"/>
        </left>
        <right style="thin">
          <color rgb="FF000000"/>
        </right>
        <top style="thin"/>
        <bottom style="thin">
          <color rgb="FF000000"/>
        </bottom>
      </border>
    </dxf>
    <dxf>
      <font>
        <b val="0"/>
        <i/>
        <color rgb="FFFFFFFF"/>
      </font>
      <fill>
        <patternFill>
          <bgColor rgb="FFFF0000"/>
        </patternFill>
      </fill>
      <border>
        <left style="thin">
          <color rgb="FF000000"/>
        </left>
        <right style="thin">
          <color rgb="FF000000"/>
        </right>
        <top style="thin"/>
        <bottom style="thin">
          <color rgb="FF000000"/>
        </bottom>
      </border>
    </dxf>
    <dxf>
      <font>
        <b/>
        <i/>
        <color rgb="FFFF0000"/>
      </font>
      <border/>
    </dxf>
    <dxf>
      <font>
        <b val="0"/>
        <i/>
        <color rgb="FFFFFFFF"/>
      </font>
      <fill>
        <patternFill>
          <bgColor rgb="FFFF0000"/>
        </patternFill>
      </fill>
      <border/>
    </dxf>
    <dxf>
      <fill>
        <patternFill patternType="darkDown">
          <bgColor rgb="FFFFFFFF"/>
        </patternFill>
      </fill>
      <border/>
    </dxf>
    <dxf>
      <font>
        <color rgb="FFFFFF00"/>
      </font>
      <fill>
        <patternFill>
          <bgColor rgb="FFFF0000"/>
        </patternFill>
      </fill>
      <border/>
    </dxf>
    <dxf>
      <font>
        <b/>
        <i/>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P186"/>
  <sheetViews>
    <sheetView tabSelected="1" zoomScale="90" zoomScaleNormal="90" workbookViewId="0" topLeftCell="A1">
      <selection activeCell="H7" sqref="H7"/>
    </sheetView>
  </sheetViews>
  <sheetFormatPr defaultColWidth="9.140625" defaultRowHeight="12.75"/>
  <cols>
    <col min="1" max="1" width="36.00390625" style="6" customWidth="1"/>
    <col min="2" max="2" width="10.8515625" style="6" customWidth="1"/>
    <col min="3" max="3" width="10.7109375" style="6" customWidth="1"/>
    <col min="4" max="4" width="11.28125" style="6" customWidth="1"/>
    <col min="5" max="5" width="11.140625" style="6" customWidth="1"/>
    <col min="6" max="6" width="10.57421875" style="6" customWidth="1"/>
    <col min="7" max="7" width="9.7109375" style="6" customWidth="1"/>
    <col min="8" max="8" width="10.00390625" style="6" customWidth="1"/>
    <col min="9" max="9" width="15.140625" style="6" customWidth="1"/>
    <col min="10" max="10" width="13.57421875" style="6" customWidth="1"/>
    <col min="11" max="11" width="12.7109375" style="43" customWidth="1"/>
    <col min="12" max="15" width="0.85546875" style="78" customWidth="1"/>
    <col min="16" max="16384" width="9.140625" style="6" customWidth="1"/>
  </cols>
  <sheetData>
    <row r="1" spans="1:15" ht="12.75">
      <c r="A1" s="59" t="s">
        <v>253</v>
      </c>
      <c r="B1" s="59"/>
      <c r="C1" s="5"/>
      <c r="D1" s="5"/>
      <c r="E1" s="5"/>
      <c r="F1" s="5"/>
      <c r="G1" s="5"/>
      <c r="H1" s="5"/>
      <c r="I1" s="5"/>
      <c r="J1" s="5"/>
      <c r="K1" s="5"/>
      <c r="L1" s="74"/>
      <c r="M1" s="74"/>
      <c r="N1" s="74"/>
      <c r="O1" s="74"/>
    </row>
    <row r="2" spans="1:15" ht="32.25" thickBot="1">
      <c r="A2" s="149" t="s">
        <v>241</v>
      </c>
      <c r="B2" s="284" t="s">
        <v>67</v>
      </c>
      <c r="C2" s="285"/>
      <c r="D2" s="285"/>
      <c r="E2" s="286"/>
      <c r="F2" s="286"/>
      <c r="G2" s="5"/>
      <c r="H2" s="283" t="s">
        <v>66</v>
      </c>
      <c r="I2" s="283"/>
      <c r="J2" s="283"/>
      <c r="K2" s="250" t="s">
        <v>252</v>
      </c>
      <c r="L2" s="74"/>
      <c r="M2" s="74"/>
      <c r="N2" s="74"/>
      <c r="O2" s="74"/>
    </row>
    <row r="3" spans="1:15" ht="15" customHeight="1" thickTop="1">
      <c r="A3" s="12" t="s">
        <v>32</v>
      </c>
      <c r="B3" s="8" t="s">
        <v>18</v>
      </c>
      <c r="C3" s="291" t="s">
        <v>260</v>
      </c>
      <c r="D3" s="292"/>
      <c r="E3" s="292"/>
      <c r="F3" s="293"/>
      <c r="G3" s="5"/>
      <c r="H3" s="287" t="s">
        <v>108</v>
      </c>
      <c r="I3" s="288"/>
      <c r="J3" s="44">
        <v>24</v>
      </c>
      <c r="K3" s="251"/>
      <c r="L3" s="75"/>
      <c r="M3" s="75"/>
      <c r="N3" s="75"/>
      <c r="O3" s="75"/>
    </row>
    <row r="4" spans="1:15" ht="14.25" customHeight="1">
      <c r="A4" s="151" t="s">
        <v>152</v>
      </c>
      <c r="B4" s="11" t="s">
        <v>17</v>
      </c>
      <c r="C4" s="276" t="s">
        <v>256</v>
      </c>
      <c r="D4" s="277"/>
      <c r="E4" s="277"/>
      <c r="F4" s="278"/>
      <c r="G4" s="5"/>
      <c r="H4" s="289" t="s">
        <v>109</v>
      </c>
      <c r="I4" s="290"/>
      <c r="J4" s="45">
        <v>10</v>
      </c>
      <c r="K4" s="252"/>
      <c r="L4" s="75"/>
      <c r="M4" s="75"/>
      <c r="N4" s="75"/>
      <c r="O4" s="75"/>
    </row>
    <row r="5" spans="1:15" ht="13.5" thickBot="1">
      <c r="A5" s="12"/>
      <c r="B5" s="11" t="s">
        <v>16</v>
      </c>
      <c r="C5" s="276" t="s">
        <v>255</v>
      </c>
      <c r="D5" s="277"/>
      <c r="E5" s="277"/>
      <c r="F5" s="278"/>
      <c r="G5" s="5"/>
      <c r="H5" s="5"/>
      <c r="I5" s="5"/>
      <c r="J5" s="5"/>
      <c r="K5" s="144"/>
      <c r="L5" s="75"/>
      <c r="M5" s="75"/>
      <c r="N5" s="75"/>
      <c r="O5" s="75"/>
    </row>
    <row r="6" spans="1:15" ht="12.75">
      <c r="A6" s="10"/>
      <c r="B6" s="11" t="s">
        <v>39</v>
      </c>
      <c r="C6" s="276" t="s">
        <v>254</v>
      </c>
      <c r="D6" s="277"/>
      <c r="E6" s="277"/>
      <c r="F6" s="278"/>
      <c r="G6" s="5"/>
      <c r="H6" s="5"/>
      <c r="I6" s="13" t="s">
        <v>19</v>
      </c>
      <c r="J6" s="281" t="str">
        <f>IF(L158,"PS24",((($J$3*(SUM($B$13+$C$13)+$E$11))*(Data!B23))+((($D$13+$F$11)+(($G$13+$H$13))*J4/60)))*0.001)</f>
        <v>PS24</v>
      </c>
      <c r="K6" s="144"/>
      <c r="L6" s="280"/>
      <c r="M6" s="76"/>
      <c r="N6" s="76"/>
      <c r="O6" s="76"/>
    </row>
    <row r="7" spans="1:15" ht="18" customHeight="1" thickBot="1">
      <c r="A7" s="10"/>
      <c r="B7" s="11" t="s">
        <v>15</v>
      </c>
      <c r="C7" s="279">
        <v>39302</v>
      </c>
      <c r="D7" s="277"/>
      <c r="E7" s="277"/>
      <c r="F7" s="278"/>
      <c r="G7" s="5"/>
      <c r="H7" s="5"/>
      <c r="I7" s="13" t="s">
        <v>20</v>
      </c>
      <c r="J7" s="282"/>
      <c r="K7" s="144"/>
      <c r="L7" s="280"/>
      <c r="M7" s="124"/>
      <c r="N7" s="124"/>
      <c r="O7" s="124"/>
    </row>
    <row r="8" spans="1:15" ht="18.75" customHeight="1">
      <c r="A8" s="5"/>
      <c r="B8" s="5"/>
      <c r="C8" s="5"/>
      <c r="D8" s="5"/>
      <c r="E8" s="14"/>
      <c r="F8" s="14"/>
      <c r="G8" s="14"/>
      <c r="H8" s="294" t="str">
        <f>IF(L158,"Using PS24 to Backup Control Panel",(IF((VLOOKUP(Data!$R$1,Main_Panel_Data,17))&lt;(J6),"Recommended Battery Exceeds Panel's Max Battery Size!","Recommended Battery Capacity OK for 48-Hr Recharge")))</f>
        <v>Using PS24 to Backup Control Panel</v>
      </c>
      <c r="I8" s="295"/>
      <c r="J8" s="295"/>
      <c r="K8" s="295"/>
      <c r="L8" s="74"/>
      <c r="M8" s="125" t="b">
        <v>1</v>
      </c>
      <c r="N8" s="126" t="b">
        <v>1</v>
      </c>
      <c r="O8" s="127" t="b">
        <v>0</v>
      </c>
    </row>
    <row r="9" spans="1:15" ht="15.75" thickBot="1">
      <c r="A9" s="118">
        <f>IF((VLOOKUP(Data!$R$1,Main_Panel_Data,16))=0,"Selected Panel NOT Comm'l Fire Rated","")</f>
      </c>
      <c r="B9" s="298" t="s">
        <v>137</v>
      </c>
      <c r="C9" s="299"/>
      <c r="D9" s="299"/>
      <c r="E9" s="299"/>
      <c r="F9" s="299"/>
      <c r="G9" s="299"/>
      <c r="H9" s="299"/>
      <c r="I9" s="299"/>
      <c r="J9" s="300"/>
      <c r="K9" s="266"/>
      <c r="L9" s="74"/>
      <c r="M9" s="128">
        <v>1</v>
      </c>
      <c r="N9" s="128"/>
      <c r="O9" s="128"/>
    </row>
    <row r="10" spans="1:15" ht="32.25" customHeight="1" thickBot="1">
      <c r="A10" s="15" t="s">
        <v>30</v>
      </c>
      <c r="B10" s="103" t="s">
        <v>47</v>
      </c>
      <c r="C10" s="16" t="s">
        <v>48</v>
      </c>
      <c r="D10" s="95" t="s">
        <v>49</v>
      </c>
      <c r="E10" s="110" t="s">
        <v>51</v>
      </c>
      <c r="F10" s="101" t="s">
        <v>50</v>
      </c>
      <c r="G10" s="103" t="s">
        <v>52</v>
      </c>
      <c r="H10" s="95" t="s">
        <v>61</v>
      </c>
      <c r="I10" s="91" t="s">
        <v>122</v>
      </c>
      <c r="J10" s="145" t="s">
        <v>123</v>
      </c>
      <c r="K10" s="147" t="s">
        <v>140</v>
      </c>
      <c r="L10" s="146" t="s">
        <v>72</v>
      </c>
      <c r="M10" s="57" t="s">
        <v>115</v>
      </c>
      <c r="N10" s="57" t="s">
        <v>114</v>
      </c>
      <c r="O10" s="57" t="s">
        <v>120</v>
      </c>
    </row>
    <row r="11" spans="1:16" ht="15.75" customHeight="1">
      <c r="A11" s="5"/>
      <c r="B11" s="115">
        <f>VLOOKUP(Data!$R$1,Main_Panel_Data,3)</f>
        <v>128</v>
      </c>
      <c r="C11" s="111">
        <f>VLOOKUP(Data!$R$1,Main_Panel_Data,4)</f>
        <v>1000</v>
      </c>
      <c r="D11" s="96">
        <f>VLOOKUP(Data!$R$1,Main_Panel_Data,5)</f>
        <v>1700</v>
      </c>
      <c r="E11" s="111">
        <f>VLOOKUP(Data!$R$1,Main_Panel_Data,6)</f>
        <v>300</v>
      </c>
      <c r="F11" s="102">
        <f>VLOOKUP(Data!$R$1,Main_Panel_Data,7)</f>
        <v>470</v>
      </c>
      <c r="G11" s="104">
        <f>VLOOKUP(Data!$R$1,Main_Panel_Data,8)</f>
        <v>1700</v>
      </c>
      <c r="H11" s="172">
        <f>VLOOKUP(Data!$R$1,Main_Panel_Data,9)</f>
        <v>1700</v>
      </c>
      <c r="I11" s="92">
        <f>VLOOKUP(Data!$R$1,Main_Panel_Data,10)</f>
        <v>1000</v>
      </c>
      <c r="J11" s="109">
        <f>VLOOKUP(Data!$R$1,Main_Panel_Data,11)</f>
        <v>2300</v>
      </c>
      <c r="K11" s="143">
        <f>VLOOKUP(Data!$R$1,Main_Panel_Data,17)</f>
        <v>34.4</v>
      </c>
      <c r="L11" s="128">
        <f>VLOOKUP(Data!$R$1,Main_Panel_Data,15)</f>
        <v>0</v>
      </c>
      <c r="M11" s="56">
        <f>VLOOKUP(Data!$R$1,Main_Panel_Data,14)</f>
        <v>1</v>
      </c>
      <c r="N11" s="56">
        <f>VLOOKUP(Data!$R$1,Main_Panel_Data,13)</f>
        <v>0</v>
      </c>
      <c r="O11" s="56">
        <f>VLOOKUP(Data!$R$1,Main_Panel_Data,12)</f>
        <v>1</v>
      </c>
      <c r="P11" s="17"/>
    </row>
    <row r="12" spans="1:15" ht="12" customHeight="1">
      <c r="A12" s="10"/>
      <c r="B12" s="116"/>
      <c r="C12" s="5"/>
      <c r="D12" s="112"/>
      <c r="E12" s="5"/>
      <c r="F12" s="5"/>
      <c r="G12" s="105"/>
      <c r="H12" s="97"/>
      <c r="I12" s="138" t="s">
        <v>126</v>
      </c>
      <c r="J12" s="139" t="s">
        <v>128</v>
      </c>
      <c r="K12" s="90"/>
      <c r="L12" s="74"/>
      <c r="M12" s="74"/>
      <c r="N12" s="74"/>
      <c r="O12" s="74"/>
    </row>
    <row r="13" spans="1:15" ht="12" customHeight="1">
      <c r="A13" s="13" t="s">
        <v>53</v>
      </c>
      <c r="B13" s="106">
        <f>MIN(((SUM(G21:G123))-G61),B11)</f>
        <v>48</v>
      </c>
      <c r="C13" s="93">
        <f>(SUM(H21:H123))</f>
        <v>100</v>
      </c>
      <c r="D13" s="113">
        <f>(SUM(I21:I123))</f>
        <v>265</v>
      </c>
      <c r="E13" s="9"/>
      <c r="F13" s="13" t="s">
        <v>138</v>
      </c>
      <c r="G13" s="106">
        <f>SUM(I127:I131)</f>
        <v>0</v>
      </c>
      <c r="H13" s="98">
        <f>SUM(I135:I139)</f>
        <v>0</v>
      </c>
      <c r="I13" s="93">
        <f>B13+C13</f>
        <v>148</v>
      </c>
      <c r="J13" s="150">
        <f>B13+D13+G13+H13</f>
        <v>313</v>
      </c>
      <c r="K13" s="5"/>
      <c r="L13" s="74"/>
      <c r="M13" s="74"/>
      <c r="N13" s="74"/>
      <c r="O13" s="74"/>
    </row>
    <row r="14" spans="1:15" ht="12" customHeight="1">
      <c r="A14" s="13"/>
      <c r="B14" s="114"/>
      <c r="C14" s="58"/>
      <c r="D14" s="112"/>
      <c r="E14" s="5"/>
      <c r="F14" s="5"/>
      <c r="G14" s="107"/>
      <c r="H14" s="99"/>
      <c r="I14" s="138" t="s">
        <v>127</v>
      </c>
      <c r="J14" s="140" t="s">
        <v>129</v>
      </c>
      <c r="K14" s="5"/>
      <c r="L14" s="74"/>
      <c r="M14" s="74"/>
      <c r="N14" s="74"/>
      <c r="O14" s="74"/>
    </row>
    <row r="15" spans="1:15" ht="12" customHeight="1">
      <c r="A15" s="13" t="s">
        <v>62</v>
      </c>
      <c r="B15" s="108">
        <f>B11-((SUM(G21:G123)))</f>
        <v>80</v>
      </c>
      <c r="C15" s="94">
        <f>(C11-C13)</f>
        <v>900</v>
      </c>
      <c r="D15" s="100">
        <f>(D11-D13)</f>
        <v>1435</v>
      </c>
      <c r="E15" s="9"/>
      <c r="F15" s="13" t="s">
        <v>60</v>
      </c>
      <c r="G15" s="108">
        <f>G11-G13</f>
        <v>1700</v>
      </c>
      <c r="H15" s="171">
        <f>IF(H11="NA","Not Used",(H11-H13))</f>
        <v>1700</v>
      </c>
      <c r="I15" s="94">
        <f>I11-I13</f>
        <v>852</v>
      </c>
      <c r="J15" s="100">
        <f>J11-J13</f>
        <v>1987</v>
      </c>
      <c r="K15" s="5"/>
      <c r="L15" s="74"/>
      <c r="M15" s="74"/>
      <c r="N15" s="74"/>
      <c r="O15" s="74"/>
    </row>
    <row r="16" spans="1:15" ht="12" customHeight="1">
      <c r="A16" s="5"/>
      <c r="B16" s="117" t="str">
        <f>IF(B15&lt;0,"Overdraw!","Current OK")</f>
        <v>Current OK</v>
      </c>
      <c r="C16" s="137" t="str">
        <f>IF(C15&lt;0,"Overdraw!","Current OK")</f>
        <v>Current OK</v>
      </c>
      <c r="D16" s="137" t="str">
        <f>IF(D15&lt;0,"Overdraw!","Current OK")</f>
        <v>Current OK</v>
      </c>
      <c r="E16" s="9"/>
      <c r="F16" s="5"/>
      <c r="G16" s="152" t="str">
        <f>IF(G15&lt;0,"Overdraw!","Current OK")</f>
        <v>Current OK</v>
      </c>
      <c r="H16" s="153"/>
      <c r="I16" s="137" t="str">
        <f>IF(I15&lt;0,"Overdraw!","Current OK")</f>
        <v>Current OK</v>
      </c>
      <c r="J16" s="137" t="str">
        <f>IF(J15&lt;0,"Overdraw!","Current OK")</f>
        <v>Current OK</v>
      </c>
      <c r="K16" s="148"/>
      <c r="L16" s="74"/>
      <c r="M16" s="74"/>
      <c r="N16" s="74"/>
      <c r="O16" s="74"/>
    </row>
    <row r="17" spans="1:15" ht="12" customHeight="1">
      <c r="A17" s="5"/>
      <c r="B17" s="141"/>
      <c r="C17" s="142"/>
      <c r="D17" s="142"/>
      <c r="E17" s="9"/>
      <c r="F17" s="13" t="s">
        <v>139</v>
      </c>
      <c r="G17" s="301">
        <f>SUM(J127:J139)</f>
        <v>0</v>
      </c>
      <c r="H17" s="302"/>
      <c r="I17" s="142"/>
      <c r="J17" s="13" t="s">
        <v>141</v>
      </c>
      <c r="K17" s="108">
        <f>SUM(J21:J123)</f>
        <v>0</v>
      </c>
      <c r="L17" s="74"/>
      <c r="M17" s="74"/>
      <c r="N17" s="74"/>
      <c r="O17" s="74"/>
    </row>
    <row r="18" spans="1:15" ht="12" customHeight="1">
      <c r="A18" s="5"/>
      <c r="B18" s="141"/>
      <c r="C18" s="142"/>
      <c r="D18" s="142"/>
      <c r="E18" s="9"/>
      <c r="F18" s="13"/>
      <c r="G18" s="142"/>
      <c r="H18" s="142"/>
      <c r="I18" s="142"/>
      <c r="J18" s="13"/>
      <c r="K18" s="142"/>
      <c r="L18" s="74"/>
      <c r="M18" s="74"/>
      <c r="N18" s="74"/>
      <c r="O18" s="74"/>
    </row>
    <row r="19" spans="1:15" ht="12" customHeight="1" thickBot="1">
      <c r="A19" s="255" t="s">
        <v>121</v>
      </c>
      <c r="B19" s="256"/>
      <c r="C19" s="256"/>
      <c r="D19" s="257"/>
      <c r="E19" s="20"/>
      <c r="F19" s="5"/>
      <c r="G19" s="5"/>
      <c r="H19" s="5"/>
      <c r="I19" s="5"/>
      <c r="J19" s="18"/>
      <c r="K19" s="18"/>
      <c r="L19" s="74"/>
      <c r="M19" s="74"/>
      <c r="N19" s="74"/>
      <c r="O19" s="74"/>
    </row>
    <row r="20" spans="1:16" ht="38.25" customHeight="1" thickBot="1" thickTop="1">
      <c r="A20" s="21" t="s">
        <v>68</v>
      </c>
      <c r="B20" s="64" t="s">
        <v>31</v>
      </c>
      <c r="C20" s="22" t="s">
        <v>103</v>
      </c>
      <c r="D20" s="23" t="s">
        <v>55</v>
      </c>
      <c r="E20" s="23" t="s">
        <v>54</v>
      </c>
      <c r="F20" s="23" t="s">
        <v>46</v>
      </c>
      <c r="G20" s="23" t="s">
        <v>56</v>
      </c>
      <c r="H20" s="23" t="s">
        <v>58</v>
      </c>
      <c r="I20" s="23" t="s">
        <v>57</v>
      </c>
      <c r="J20" s="23" t="s">
        <v>104</v>
      </c>
      <c r="K20" s="83" t="s">
        <v>83</v>
      </c>
      <c r="L20" s="77"/>
      <c r="M20" s="77"/>
      <c r="N20" s="77"/>
      <c r="O20" s="77"/>
      <c r="P20" s="24"/>
    </row>
    <row r="21" spans="1:15" ht="13.5" customHeight="1" thickTop="1">
      <c r="A21" s="52">
        <v>6128</v>
      </c>
      <c r="B21" s="62">
        <v>0</v>
      </c>
      <c r="C21" s="63">
        <v>0</v>
      </c>
      <c r="D21" s="55">
        <v>30</v>
      </c>
      <c r="E21" s="55">
        <v>45</v>
      </c>
      <c r="F21" s="30"/>
      <c r="G21" s="30"/>
      <c r="H21" s="28">
        <f aca="true" t="shared" si="0" ref="H21:H33">(B21-C21)*D21</f>
        <v>0</v>
      </c>
      <c r="I21" s="26">
        <f aca="true" t="shared" si="1" ref="I21:I33">(B21-C21)*E21</f>
        <v>0</v>
      </c>
      <c r="J21" s="27">
        <f aca="true" t="shared" si="2" ref="J21:J33">C21*(MAX(D21,E21))</f>
        <v>0</v>
      </c>
      <c r="K21" s="84"/>
      <c r="L21" s="56"/>
      <c r="M21" s="56"/>
      <c r="N21" s="56"/>
      <c r="O21" s="56"/>
    </row>
    <row r="22" spans="1:15" ht="13.5" customHeight="1">
      <c r="A22" s="25" t="s">
        <v>84</v>
      </c>
      <c r="B22" s="62">
        <v>0</v>
      </c>
      <c r="C22" s="63">
        <v>0</v>
      </c>
      <c r="D22" s="53">
        <f>IF(K22,120,60)</f>
        <v>60</v>
      </c>
      <c r="E22" s="53">
        <v>120</v>
      </c>
      <c r="F22" s="30"/>
      <c r="G22" s="30"/>
      <c r="H22" s="28">
        <f t="shared" si="0"/>
        <v>0</v>
      </c>
      <c r="I22" s="26">
        <f t="shared" si="1"/>
        <v>0</v>
      </c>
      <c r="J22" s="27">
        <f t="shared" si="2"/>
        <v>0</v>
      </c>
      <c r="K22" s="84" t="b">
        <v>0</v>
      </c>
      <c r="L22" s="56"/>
      <c r="M22" s="56"/>
      <c r="N22" s="56"/>
      <c r="O22" s="56"/>
    </row>
    <row r="23" spans="1:15" ht="13.5" customHeight="1">
      <c r="A23" s="25">
        <v>6137</v>
      </c>
      <c r="B23" s="62">
        <v>0</v>
      </c>
      <c r="C23" s="63">
        <v>0</v>
      </c>
      <c r="D23" s="50">
        <v>40</v>
      </c>
      <c r="E23" s="53">
        <v>85</v>
      </c>
      <c r="F23" s="30"/>
      <c r="G23" s="30"/>
      <c r="H23" s="28">
        <f t="shared" si="0"/>
        <v>0</v>
      </c>
      <c r="I23" s="26">
        <f t="shared" si="1"/>
        <v>0</v>
      </c>
      <c r="J23" s="27">
        <f t="shared" si="2"/>
        <v>0</v>
      </c>
      <c r="K23" s="84"/>
      <c r="L23" s="56"/>
      <c r="M23" s="56"/>
      <c r="N23" s="56"/>
      <c r="O23" s="56"/>
    </row>
    <row r="24" spans="1:15" ht="13.5" customHeight="1">
      <c r="A24" s="25" t="s">
        <v>69</v>
      </c>
      <c r="B24" s="62">
        <v>0</v>
      </c>
      <c r="C24" s="63">
        <v>0</v>
      </c>
      <c r="D24" s="51">
        <v>40</v>
      </c>
      <c r="E24" s="54">
        <v>100</v>
      </c>
      <c r="F24" s="30"/>
      <c r="G24" s="30"/>
      <c r="H24" s="28">
        <f t="shared" si="0"/>
        <v>0</v>
      </c>
      <c r="I24" s="26">
        <f t="shared" si="1"/>
        <v>0</v>
      </c>
      <c r="J24" s="27">
        <f t="shared" si="2"/>
        <v>0</v>
      </c>
      <c r="K24" s="84"/>
      <c r="L24" s="56"/>
      <c r="M24" s="56"/>
      <c r="N24" s="56"/>
      <c r="O24" s="56"/>
    </row>
    <row r="25" spans="1:15" ht="13.5" customHeight="1">
      <c r="A25" s="25">
        <v>6148</v>
      </c>
      <c r="B25" s="62">
        <v>0</v>
      </c>
      <c r="C25" s="63">
        <v>0</v>
      </c>
      <c r="D25" s="50">
        <v>30</v>
      </c>
      <c r="E25" s="53">
        <v>55</v>
      </c>
      <c r="F25" s="30"/>
      <c r="G25" s="30"/>
      <c r="H25" s="28">
        <f t="shared" si="0"/>
        <v>0</v>
      </c>
      <c r="I25" s="26">
        <f t="shared" si="1"/>
        <v>0</v>
      </c>
      <c r="J25" s="27">
        <f t="shared" si="2"/>
        <v>0</v>
      </c>
      <c r="K25" s="84"/>
      <c r="L25" s="56"/>
      <c r="M25" s="56"/>
      <c r="N25" s="56"/>
      <c r="O25" s="56"/>
    </row>
    <row r="26" spans="1:15" ht="13.5" customHeight="1">
      <c r="A26" s="25">
        <v>6150</v>
      </c>
      <c r="B26" s="62">
        <v>0</v>
      </c>
      <c r="C26" s="63">
        <v>0</v>
      </c>
      <c r="D26" s="50">
        <v>40</v>
      </c>
      <c r="E26" s="53">
        <v>70</v>
      </c>
      <c r="F26" s="29"/>
      <c r="G26" s="29"/>
      <c r="H26" s="28">
        <f t="shared" si="0"/>
        <v>0</v>
      </c>
      <c r="I26" s="26">
        <f t="shared" si="1"/>
        <v>0</v>
      </c>
      <c r="J26" s="27">
        <f t="shared" si="2"/>
        <v>0</v>
      </c>
      <c r="K26" s="84"/>
      <c r="L26" s="56"/>
      <c r="M26" s="56"/>
      <c r="N26" s="56"/>
      <c r="O26" s="56"/>
    </row>
    <row r="27" spans="1:15" ht="13.5" customHeight="1">
      <c r="A27" s="25" t="s">
        <v>8</v>
      </c>
      <c r="B27" s="62">
        <v>0</v>
      </c>
      <c r="C27" s="63">
        <v>0</v>
      </c>
      <c r="D27" s="50">
        <v>80</v>
      </c>
      <c r="E27" s="53">
        <v>105</v>
      </c>
      <c r="F27" s="29"/>
      <c r="G27" s="29"/>
      <c r="H27" s="28">
        <f t="shared" si="0"/>
        <v>0</v>
      </c>
      <c r="I27" s="26">
        <f t="shared" si="1"/>
        <v>0</v>
      </c>
      <c r="J27" s="27">
        <f t="shared" si="2"/>
        <v>0</v>
      </c>
      <c r="K27" s="84"/>
      <c r="L27" s="56"/>
      <c r="M27" s="56"/>
      <c r="N27" s="56"/>
      <c r="O27" s="56"/>
    </row>
    <row r="28" spans="1:15" ht="13.5" customHeight="1">
      <c r="A28" s="25" t="s">
        <v>10</v>
      </c>
      <c r="B28" s="62">
        <v>0</v>
      </c>
      <c r="C28" s="63">
        <v>0</v>
      </c>
      <c r="D28" s="50">
        <v>60</v>
      </c>
      <c r="E28" s="53">
        <v>160</v>
      </c>
      <c r="F28" s="29"/>
      <c r="G28" s="29"/>
      <c r="H28" s="28">
        <f t="shared" si="0"/>
        <v>0</v>
      </c>
      <c r="I28" s="26">
        <f t="shared" si="1"/>
        <v>0</v>
      </c>
      <c r="J28" s="27">
        <f t="shared" si="2"/>
        <v>0</v>
      </c>
      <c r="K28" s="84"/>
      <c r="L28" s="56"/>
      <c r="M28" s="56"/>
      <c r="N28" s="56"/>
      <c r="O28" s="56"/>
    </row>
    <row r="29" spans="1:15" ht="13.5" customHeight="1">
      <c r="A29" s="25" t="s">
        <v>70</v>
      </c>
      <c r="B29" s="62">
        <v>1</v>
      </c>
      <c r="C29" s="63">
        <v>0</v>
      </c>
      <c r="D29" s="28">
        <v>45</v>
      </c>
      <c r="E29" s="19">
        <v>150</v>
      </c>
      <c r="F29" s="29"/>
      <c r="G29" s="29"/>
      <c r="H29" s="28">
        <f t="shared" si="0"/>
        <v>45</v>
      </c>
      <c r="I29" s="26">
        <f t="shared" si="1"/>
        <v>150</v>
      </c>
      <c r="J29" s="27">
        <f t="shared" si="2"/>
        <v>0</v>
      </c>
      <c r="K29" s="84"/>
      <c r="L29" s="56"/>
      <c r="M29" s="56"/>
      <c r="N29" s="56"/>
      <c r="O29" s="56"/>
    </row>
    <row r="30" spans="1:15" ht="13.5" customHeight="1">
      <c r="A30" s="52" t="s">
        <v>9</v>
      </c>
      <c r="B30" s="62">
        <v>0</v>
      </c>
      <c r="C30" s="63">
        <v>0</v>
      </c>
      <c r="D30" s="26">
        <v>50</v>
      </c>
      <c r="E30" s="27">
        <v>150</v>
      </c>
      <c r="F30" s="29"/>
      <c r="G30" s="29"/>
      <c r="H30" s="28">
        <f t="shared" si="0"/>
        <v>0</v>
      </c>
      <c r="I30" s="26">
        <f t="shared" si="1"/>
        <v>0</v>
      </c>
      <c r="J30" s="27">
        <f t="shared" si="2"/>
        <v>0</v>
      </c>
      <c r="K30" s="84"/>
      <c r="L30" s="56"/>
      <c r="M30" s="56"/>
      <c r="N30" s="56"/>
      <c r="O30" s="56"/>
    </row>
    <row r="31" spans="1:15" ht="13.5" customHeight="1">
      <c r="A31" s="52" t="s">
        <v>11</v>
      </c>
      <c r="B31" s="62">
        <v>0</v>
      </c>
      <c r="C31" s="63">
        <v>0</v>
      </c>
      <c r="D31" s="26">
        <v>60</v>
      </c>
      <c r="E31" s="27">
        <v>190</v>
      </c>
      <c r="F31" s="29"/>
      <c r="G31" s="29"/>
      <c r="H31" s="28">
        <f t="shared" si="0"/>
        <v>0</v>
      </c>
      <c r="I31" s="26">
        <f t="shared" si="1"/>
        <v>0</v>
      </c>
      <c r="J31" s="27">
        <f t="shared" si="2"/>
        <v>0</v>
      </c>
      <c r="K31" s="84"/>
      <c r="L31" s="56"/>
      <c r="M31" s="56"/>
      <c r="N31" s="56"/>
      <c r="O31" s="56"/>
    </row>
    <row r="32" spans="1:15" ht="13.5" customHeight="1">
      <c r="A32" s="25" t="s">
        <v>59</v>
      </c>
      <c r="B32" s="62">
        <v>0</v>
      </c>
      <c r="C32" s="63">
        <v>0</v>
      </c>
      <c r="D32" s="82">
        <v>350</v>
      </c>
      <c r="E32" s="82">
        <v>400</v>
      </c>
      <c r="F32" s="29"/>
      <c r="G32" s="29"/>
      <c r="H32" s="28">
        <f>(B32-C32)*D32</f>
        <v>0</v>
      </c>
      <c r="I32" s="26">
        <f>(B32-C32)*E32</f>
        <v>0</v>
      </c>
      <c r="J32" s="27">
        <f>C32*(MAX(D32,E32))</f>
        <v>0</v>
      </c>
      <c r="K32" s="84"/>
      <c r="L32" s="56"/>
      <c r="M32" s="56"/>
      <c r="N32" s="56"/>
      <c r="O32" s="56"/>
    </row>
    <row r="33" spans="1:15" ht="13.5" customHeight="1">
      <c r="A33" s="174" t="s">
        <v>107</v>
      </c>
      <c r="B33" s="62">
        <v>0</v>
      </c>
      <c r="C33" s="63">
        <v>0</v>
      </c>
      <c r="D33" s="46">
        <v>0</v>
      </c>
      <c r="E33" s="46">
        <v>0</v>
      </c>
      <c r="F33" s="29"/>
      <c r="G33" s="29"/>
      <c r="H33" s="28">
        <f t="shared" si="0"/>
        <v>0</v>
      </c>
      <c r="I33" s="26">
        <f t="shared" si="1"/>
        <v>0</v>
      </c>
      <c r="J33" s="27">
        <f t="shared" si="2"/>
        <v>0</v>
      </c>
      <c r="K33" s="84"/>
      <c r="L33" s="56"/>
      <c r="M33" s="56"/>
      <c r="N33" s="56"/>
      <c r="O33" s="56"/>
    </row>
    <row r="34" spans="1:15" ht="12" customHeight="1">
      <c r="A34" s="5"/>
      <c r="B34" s="303" t="s">
        <v>130</v>
      </c>
      <c r="C34" s="303"/>
      <c r="D34" s="304"/>
      <c r="E34" s="304"/>
      <c r="F34" s="304"/>
      <c r="G34" s="304"/>
      <c r="H34" s="296" t="s">
        <v>131</v>
      </c>
      <c r="I34" s="297"/>
      <c r="J34" s="297"/>
      <c r="K34" s="85"/>
      <c r="L34" s="56"/>
      <c r="M34" s="56"/>
      <c r="N34" s="56"/>
      <c r="O34" s="56"/>
    </row>
    <row r="35" spans="1:15" ht="12" customHeight="1" thickBot="1">
      <c r="A35" s="5"/>
      <c r="B35" s="5"/>
      <c r="C35" s="5"/>
      <c r="D35" s="18"/>
      <c r="E35" s="9"/>
      <c r="F35" s="5"/>
      <c r="G35" s="5"/>
      <c r="H35" s="5"/>
      <c r="I35" s="5"/>
      <c r="J35" s="18"/>
      <c r="K35" s="85"/>
      <c r="L35" s="56"/>
      <c r="M35" s="56"/>
      <c r="N35" s="56"/>
      <c r="O35" s="56"/>
    </row>
    <row r="36" spans="1:16" ht="38.25" customHeight="1" thickBot="1" thickTop="1">
      <c r="A36" s="21" t="s">
        <v>249</v>
      </c>
      <c r="B36" s="22" t="s">
        <v>31</v>
      </c>
      <c r="C36" s="22" t="s">
        <v>103</v>
      </c>
      <c r="D36" s="23" t="s">
        <v>55</v>
      </c>
      <c r="E36" s="23" t="s">
        <v>54</v>
      </c>
      <c r="F36" s="23" t="s">
        <v>46</v>
      </c>
      <c r="G36" s="23" t="s">
        <v>56</v>
      </c>
      <c r="H36" s="23" t="s">
        <v>58</v>
      </c>
      <c r="I36" s="23" t="s">
        <v>57</v>
      </c>
      <c r="J36" s="23" t="s">
        <v>104</v>
      </c>
      <c r="K36" s="83"/>
      <c r="L36" s="77"/>
      <c r="M36" s="77"/>
      <c r="N36" s="77"/>
      <c r="O36" s="77"/>
      <c r="P36" s="24"/>
    </row>
    <row r="37" spans="1:15" ht="13.5" customHeight="1" thickTop="1">
      <c r="A37" s="175" t="s">
        <v>244</v>
      </c>
      <c r="B37" s="47">
        <v>1</v>
      </c>
      <c r="C37" s="247"/>
      <c r="D37" s="267" t="s">
        <v>245</v>
      </c>
      <c r="E37" s="268"/>
      <c r="F37" s="268"/>
      <c r="G37" s="268"/>
      <c r="H37" s="268"/>
      <c r="I37" s="269"/>
      <c r="J37" s="30"/>
      <c r="K37" s="84"/>
      <c r="L37" s="56"/>
      <c r="M37" s="56"/>
      <c r="N37" s="56"/>
      <c r="O37" s="56"/>
    </row>
    <row r="38" spans="1:15" ht="13.5" customHeight="1">
      <c r="A38" s="175" t="s">
        <v>244</v>
      </c>
      <c r="B38" s="47">
        <v>0</v>
      </c>
      <c r="C38" s="247"/>
      <c r="D38" s="270"/>
      <c r="E38" s="271"/>
      <c r="F38" s="271"/>
      <c r="G38" s="271"/>
      <c r="H38" s="271"/>
      <c r="I38" s="272"/>
      <c r="J38" s="30"/>
      <c r="K38" s="84"/>
      <c r="L38" s="56"/>
      <c r="M38" s="56"/>
      <c r="N38" s="56"/>
      <c r="O38" s="56"/>
    </row>
    <row r="39" spans="1:15" ht="13.5" customHeight="1">
      <c r="A39" s="175" t="s">
        <v>244</v>
      </c>
      <c r="B39" s="47">
        <v>0</v>
      </c>
      <c r="C39" s="247"/>
      <c r="D39" s="273"/>
      <c r="E39" s="274"/>
      <c r="F39" s="274"/>
      <c r="G39" s="274"/>
      <c r="H39" s="274"/>
      <c r="I39" s="275"/>
      <c r="J39" s="30"/>
      <c r="K39" s="84"/>
      <c r="L39" s="56"/>
      <c r="M39" s="56"/>
      <c r="N39" s="56"/>
      <c r="O39" s="56"/>
    </row>
    <row r="40" spans="1:15" ht="13.5" customHeight="1">
      <c r="A40" s="175" t="s">
        <v>244</v>
      </c>
      <c r="B40" s="47">
        <v>0</v>
      </c>
      <c r="C40" s="247"/>
      <c r="D40" s="248"/>
      <c r="E40" s="248"/>
      <c r="F40" s="29"/>
      <c r="G40" s="29"/>
      <c r="H40" s="29"/>
      <c r="I40" s="30"/>
      <c r="J40" s="30"/>
      <c r="K40" s="84"/>
      <c r="L40" s="56"/>
      <c r="M40" s="56"/>
      <c r="N40" s="56"/>
      <c r="O40" s="56"/>
    </row>
    <row r="41" spans="1:15" ht="13.5" customHeight="1">
      <c r="A41" s="175" t="s">
        <v>242</v>
      </c>
      <c r="B41" s="47">
        <v>0</v>
      </c>
      <c r="C41" s="47">
        <v>0</v>
      </c>
      <c r="D41" s="46">
        <v>0</v>
      </c>
      <c r="E41" s="46">
        <v>0</v>
      </c>
      <c r="F41" s="29"/>
      <c r="G41" s="29"/>
      <c r="H41" s="28">
        <f>(B41-C41)*D41</f>
        <v>0</v>
      </c>
      <c r="I41" s="26">
        <f>(B41-C41)*E41</f>
        <v>0</v>
      </c>
      <c r="J41" s="27">
        <f>C41*(MAX(D41,E41))</f>
        <v>0</v>
      </c>
      <c r="K41" s="84"/>
      <c r="L41" s="56"/>
      <c r="M41" s="56"/>
      <c r="N41" s="56"/>
      <c r="O41" s="56"/>
    </row>
    <row r="42" spans="1:15" ht="13.5" customHeight="1">
      <c r="A42" s="175" t="s">
        <v>242</v>
      </c>
      <c r="B42" s="47">
        <v>0</v>
      </c>
      <c r="C42" s="47">
        <v>0</v>
      </c>
      <c r="D42" s="46">
        <v>0</v>
      </c>
      <c r="E42" s="46">
        <v>0</v>
      </c>
      <c r="F42" s="29"/>
      <c r="G42" s="29"/>
      <c r="H42" s="28">
        <f>(B42-C42)*D42</f>
        <v>0</v>
      </c>
      <c r="I42" s="26">
        <f>(B42-C42)*E42</f>
        <v>0</v>
      </c>
      <c r="J42" s="27">
        <f>C42*(MAX(D42,E42))</f>
        <v>0</v>
      </c>
      <c r="K42" s="84"/>
      <c r="L42" s="56"/>
      <c r="M42" s="56"/>
      <c r="N42" s="56"/>
      <c r="O42" s="56"/>
    </row>
    <row r="43" spans="1:15" ht="13.5" customHeight="1">
      <c r="A43" s="175" t="s">
        <v>242</v>
      </c>
      <c r="B43" s="47">
        <v>0</v>
      </c>
      <c r="C43" s="47">
        <v>0</v>
      </c>
      <c r="D43" s="46">
        <v>0</v>
      </c>
      <c r="E43" s="46">
        <v>0</v>
      </c>
      <c r="F43" s="29"/>
      <c r="G43" s="29"/>
      <c r="H43" s="28">
        <f>(B43-C43)*D43</f>
        <v>0</v>
      </c>
      <c r="I43" s="26">
        <f>(B43-C43)*E43</f>
        <v>0</v>
      </c>
      <c r="J43" s="27">
        <f>C43*(MAX(D43,E43))</f>
        <v>0</v>
      </c>
      <c r="K43" s="84"/>
      <c r="L43" s="56"/>
      <c r="M43" s="56"/>
      <c r="N43" s="56"/>
      <c r="O43" s="56"/>
    </row>
    <row r="44" spans="1:15" ht="13.5" customHeight="1">
      <c r="A44" s="175" t="s">
        <v>242</v>
      </c>
      <c r="B44" s="47">
        <v>0</v>
      </c>
      <c r="C44" s="47">
        <v>0</v>
      </c>
      <c r="D44" s="46">
        <v>0</v>
      </c>
      <c r="E44" s="46">
        <v>0</v>
      </c>
      <c r="F44" s="29"/>
      <c r="G44" s="29"/>
      <c r="H44" s="28">
        <f>(B44-C44)*D44</f>
        <v>0</v>
      </c>
      <c r="I44" s="26">
        <f>(B44-C44)*E44</f>
        <v>0</v>
      </c>
      <c r="J44" s="27">
        <f>C44*(MAX(D44,E44))</f>
        <v>0</v>
      </c>
      <c r="K44" s="84"/>
      <c r="L44" s="56"/>
      <c r="M44" s="56"/>
      <c r="N44" s="56"/>
      <c r="O44" s="56"/>
    </row>
    <row r="45" spans="1:15" ht="12" customHeight="1">
      <c r="A45" s="5"/>
      <c r="B45" s="249"/>
      <c r="C45" s="249"/>
      <c r="D45" s="249"/>
      <c r="E45" s="249"/>
      <c r="F45" s="249"/>
      <c r="G45" s="249"/>
      <c r="H45" s="200"/>
      <c r="I45" s="249"/>
      <c r="J45" s="249"/>
      <c r="K45" s="85"/>
      <c r="L45" s="56"/>
      <c r="M45" s="56"/>
      <c r="N45" s="56"/>
      <c r="O45" s="56"/>
    </row>
    <row r="46" spans="1:15" ht="12" customHeight="1">
      <c r="A46" s="5"/>
      <c r="B46" s="249"/>
      <c r="C46" s="249"/>
      <c r="D46" s="249"/>
      <c r="E46" s="249"/>
      <c r="F46" s="249"/>
      <c r="G46" s="249"/>
      <c r="H46" s="200"/>
      <c r="I46" s="249"/>
      <c r="J46" s="249"/>
      <c r="K46" s="85"/>
      <c r="L46" s="56"/>
      <c r="M46" s="56"/>
      <c r="N46" s="56"/>
      <c r="O46" s="56"/>
    </row>
    <row r="47" spans="1:15" ht="12" customHeight="1">
      <c r="A47" s="5"/>
      <c r="B47" s="249"/>
      <c r="C47" s="249"/>
      <c r="D47" s="249"/>
      <c r="E47" s="249"/>
      <c r="F47" s="249"/>
      <c r="G47" s="249"/>
      <c r="H47" s="200"/>
      <c r="I47" s="249"/>
      <c r="J47" s="249"/>
      <c r="K47" s="85"/>
      <c r="L47" s="56"/>
      <c r="M47" s="56"/>
      <c r="N47" s="56"/>
      <c r="O47" s="56"/>
    </row>
    <row r="48" spans="1:15" ht="12" customHeight="1" thickBot="1">
      <c r="A48" s="5"/>
      <c r="B48" s="5"/>
      <c r="C48" s="5"/>
      <c r="D48" s="18"/>
      <c r="E48" s="9"/>
      <c r="F48" s="5"/>
      <c r="G48" s="5"/>
      <c r="H48" s="5"/>
      <c r="I48" s="5"/>
      <c r="J48" s="18"/>
      <c r="K48" s="85"/>
      <c r="L48" s="56"/>
      <c r="M48" s="56"/>
      <c r="N48" s="56"/>
      <c r="O48" s="56"/>
    </row>
    <row r="49" spans="1:16" ht="38.25" customHeight="1" thickBot="1" thickTop="1">
      <c r="A49" s="21" t="s">
        <v>63</v>
      </c>
      <c r="B49" s="22" t="s">
        <v>31</v>
      </c>
      <c r="C49" s="22" t="s">
        <v>103</v>
      </c>
      <c r="D49" s="23" t="s">
        <v>55</v>
      </c>
      <c r="E49" s="23" t="s">
        <v>54</v>
      </c>
      <c r="F49" s="23" t="s">
        <v>46</v>
      </c>
      <c r="G49" s="23" t="s">
        <v>56</v>
      </c>
      <c r="H49" s="23" t="s">
        <v>58</v>
      </c>
      <c r="I49" s="23" t="s">
        <v>57</v>
      </c>
      <c r="J49" s="23" t="s">
        <v>104</v>
      </c>
      <c r="K49" s="83"/>
      <c r="L49" s="77"/>
      <c r="M49" s="77"/>
      <c r="N49" s="77"/>
      <c r="O49" s="77"/>
      <c r="P49" s="24"/>
    </row>
    <row r="50" spans="1:15" ht="13.5" customHeight="1" thickTop="1">
      <c r="A50" s="36" t="s">
        <v>154</v>
      </c>
      <c r="B50" s="47">
        <v>0</v>
      </c>
      <c r="C50" s="166">
        <v>0</v>
      </c>
      <c r="D50" s="26">
        <v>0</v>
      </c>
      <c r="E50" s="27">
        <v>0</v>
      </c>
      <c r="F50" s="26">
        <v>27.3</v>
      </c>
      <c r="G50" s="27">
        <f aca="true" t="shared" si="3" ref="G50:G63">B50*F50</f>
        <v>0</v>
      </c>
      <c r="H50" s="28">
        <f aca="true" t="shared" si="4" ref="H50:H63">(B50-C50)*D50</f>
        <v>0</v>
      </c>
      <c r="I50" s="26">
        <f aca="true" t="shared" si="5" ref="I50:I63">(B50-C50)*E50</f>
        <v>0</v>
      </c>
      <c r="J50" s="27">
        <f aca="true" t="shared" si="6" ref="J50:J63">C50*(MAX(D50,E50))</f>
        <v>0</v>
      </c>
      <c r="K50" s="84"/>
      <c r="L50" s="128" t="b">
        <v>0</v>
      </c>
      <c r="M50" s="56"/>
      <c r="N50" s="56"/>
      <c r="O50" s="56"/>
    </row>
    <row r="51" spans="1:15" ht="13.5" customHeight="1">
      <c r="A51" s="36" t="s">
        <v>155</v>
      </c>
      <c r="B51" s="47">
        <v>0</v>
      </c>
      <c r="C51" s="166">
        <v>0</v>
      </c>
      <c r="D51" s="26">
        <v>28</v>
      </c>
      <c r="E51" s="27">
        <v>0</v>
      </c>
      <c r="F51" s="26">
        <v>0.6</v>
      </c>
      <c r="G51" s="27">
        <f>B51*F51</f>
        <v>0</v>
      </c>
      <c r="H51" s="28">
        <f>(B51-C51)*D51</f>
        <v>0</v>
      </c>
      <c r="I51" s="26">
        <f>(B51-C51)*E51</f>
        <v>0</v>
      </c>
      <c r="J51" s="27">
        <f>C51*(MAX(D51,E51))</f>
        <v>0</v>
      </c>
      <c r="K51" s="84"/>
      <c r="L51" s="128" t="b">
        <v>1</v>
      </c>
      <c r="M51" s="56"/>
      <c r="N51" s="56"/>
      <c r="O51" s="56"/>
    </row>
    <row r="52" spans="1:15" ht="13.5" customHeight="1">
      <c r="A52" s="36" t="s">
        <v>156</v>
      </c>
      <c r="B52" s="47">
        <v>0</v>
      </c>
      <c r="C52" s="166">
        <f>B52</f>
        <v>0</v>
      </c>
      <c r="D52" s="26">
        <v>28</v>
      </c>
      <c r="E52" s="27">
        <v>0</v>
      </c>
      <c r="F52" s="26">
        <v>0.6</v>
      </c>
      <c r="G52" s="27">
        <f>B52*F52</f>
        <v>0</v>
      </c>
      <c r="H52" s="28">
        <f>(B52-C52)*D52</f>
        <v>0</v>
      </c>
      <c r="I52" s="26">
        <f>(B52-C52)*E52</f>
        <v>0</v>
      </c>
      <c r="J52" s="27">
        <f>C52*(MAX(D52,E52))</f>
        <v>0</v>
      </c>
      <c r="K52" s="84"/>
      <c r="L52" s="128" t="b">
        <v>1</v>
      </c>
      <c r="M52" s="56"/>
      <c r="N52" s="56"/>
      <c r="O52" s="56"/>
    </row>
    <row r="53" spans="1:15" ht="13.5" customHeight="1">
      <c r="A53" s="36" t="s">
        <v>157</v>
      </c>
      <c r="B53" s="47">
        <v>0</v>
      </c>
      <c r="C53" s="166">
        <v>0</v>
      </c>
      <c r="D53" s="28">
        <v>0</v>
      </c>
      <c r="E53" s="19">
        <v>0</v>
      </c>
      <c r="F53" s="28">
        <v>33.6</v>
      </c>
      <c r="G53" s="19">
        <v>0</v>
      </c>
      <c r="H53" s="28">
        <f>(B53-C53)*D53</f>
        <v>0</v>
      </c>
      <c r="I53" s="26">
        <f>(B53-C53)*E53</f>
        <v>0</v>
      </c>
      <c r="J53" s="27">
        <f>C53*(MAX(D53,E53))</f>
        <v>0</v>
      </c>
      <c r="K53" s="84"/>
      <c r="L53" s="128" t="b">
        <v>0</v>
      </c>
      <c r="M53" s="56"/>
      <c r="N53" s="56"/>
      <c r="O53" s="56"/>
    </row>
    <row r="54" spans="1:15" ht="13.5" customHeight="1">
      <c r="A54" s="36" t="s">
        <v>160</v>
      </c>
      <c r="B54" s="47">
        <v>0</v>
      </c>
      <c r="C54" s="166">
        <v>0</v>
      </c>
      <c r="D54" s="28">
        <f>IF(L54,0,33)</f>
        <v>33</v>
      </c>
      <c r="E54" s="19">
        <v>0</v>
      </c>
      <c r="F54" s="28">
        <f>IF(L54,33.6,0.6)</f>
        <v>0.6</v>
      </c>
      <c r="G54" s="19">
        <f>B54*F54</f>
        <v>0</v>
      </c>
      <c r="H54" s="28">
        <f>(B54-C54)*D54</f>
        <v>0</v>
      </c>
      <c r="I54" s="26">
        <f>(B54-C54)*E54</f>
        <v>0</v>
      </c>
      <c r="J54" s="27">
        <f>C54*(MAX(D54,E54))</f>
        <v>0</v>
      </c>
      <c r="K54" s="84"/>
      <c r="L54" s="128" t="b">
        <v>0</v>
      </c>
      <c r="M54" s="56"/>
      <c r="N54" s="56"/>
      <c r="O54" s="56"/>
    </row>
    <row r="55" spans="1:15" ht="13.5" customHeight="1">
      <c r="A55" s="36" t="s">
        <v>159</v>
      </c>
      <c r="B55" s="47">
        <v>0</v>
      </c>
      <c r="C55" s="166">
        <f>B55</f>
        <v>0</v>
      </c>
      <c r="D55" s="28">
        <f>IF(L55,0,33)</f>
        <v>33</v>
      </c>
      <c r="E55" s="19">
        <v>0</v>
      </c>
      <c r="F55" s="28">
        <f>IF(L55,33.6,0.6)</f>
        <v>0.6</v>
      </c>
      <c r="G55" s="19">
        <f t="shared" si="3"/>
        <v>0</v>
      </c>
      <c r="H55" s="28">
        <f t="shared" si="4"/>
        <v>0</v>
      </c>
      <c r="I55" s="26">
        <f t="shared" si="5"/>
        <v>0</v>
      </c>
      <c r="J55" s="27">
        <f t="shared" si="6"/>
        <v>0</v>
      </c>
      <c r="K55" s="84"/>
      <c r="L55" s="128" t="b">
        <v>0</v>
      </c>
      <c r="M55" s="56"/>
      <c r="N55" s="56"/>
      <c r="O55" s="56"/>
    </row>
    <row r="56" spans="1:15" ht="13.5" customHeight="1">
      <c r="A56" s="36" t="s">
        <v>158</v>
      </c>
      <c r="B56" s="47">
        <v>0</v>
      </c>
      <c r="C56" s="166">
        <v>0</v>
      </c>
      <c r="D56" s="28">
        <v>0</v>
      </c>
      <c r="E56" s="19">
        <v>0</v>
      </c>
      <c r="F56" s="28">
        <v>33.6</v>
      </c>
      <c r="G56" s="19">
        <f>B56*F56</f>
        <v>0</v>
      </c>
      <c r="H56" s="28">
        <f>(B56-C56)*D56</f>
        <v>0</v>
      </c>
      <c r="I56" s="26">
        <f>(B56-C56)*E56</f>
        <v>0</v>
      </c>
      <c r="J56" s="27">
        <f>C56*(MAX(D56,E56))</f>
        <v>0</v>
      </c>
      <c r="K56" s="84"/>
      <c r="L56" s="128" t="b">
        <v>0</v>
      </c>
      <c r="M56" s="56"/>
      <c r="N56" s="56"/>
      <c r="O56" s="56"/>
    </row>
    <row r="57" spans="1:15" ht="13.5" customHeight="1">
      <c r="A57" s="36" t="s">
        <v>161</v>
      </c>
      <c r="B57" s="47">
        <v>0</v>
      </c>
      <c r="C57" s="166">
        <v>0</v>
      </c>
      <c r="D57" s="28">
        <f>IF(L57,0,40)</f>
        <v>40</v>
      </c>
      <c r="E57" s="19">
        <v>0</v>
      </c>
      <c r="F57" s="28">
        <f>IF(L57,33.6,0.6)</f>
        <v>0.6</v>
      </c>
      <c r="G57" s="19">
        <f>B57*F57</f>
        <v>0</v>
      </c>
      <c r="H57" s="28">
        <f>(B57-C57)*D57</f>
        <v>0</v>
      </c>
      <c r="I57" s="26">
        <f>(B57-C57)*E57</f>
        <v>0</v>
      </c>
      <c r="J57" s="27">
        <f>C57*(MAX(D57,E57))</f>
        <v>0</v>
      </c>
      <c r="K57" s="84"/>
      <c r="L57" s="128" t="b">
        <v>0</v>
      </c>
      <c r="M57" s="56"/>
      <c r="N57" s="56"/>
      <c r="O57" s="56"/>
    </row>
    <row r="58" spans="1:15" ht="13.5" customHeight="1">
      <c r="A58" s="36" t="s">
        <v>162</v>
      </c>
      <c r="B58" s="47">
        <v>0</v>
      </c>
      <c r="C58" s="166">
        <f>B58</f>
        <v>0</v>
      </c>
      <c r="D58" s="28">
        <f>IF(L58,0,40)</f>
        <v>40</v>
      </c>
      <c r="E58" s="19">
        <v>0</v>
      </c>
      <c r="F58" s="28">
        <f>IF(L58,33.6,0.6)</f>
        <v>0.6</v>
      </c>
      <c r="G58" s="19">
        <f t="shared" si="3"/>
        <v>0</v>
      </c>
      <c r="H58" s="28">
        <f t="shared" si="4"/>
        <v>0</v>
      </c>
      <c r="I58" s="26">
        <f t="shared" si="5"/>
        <v>0</v>
      </c>
      <c r="J58" s="27">
        <f t="shared" si="6"/>
        <v>0</v>
      </c>
      <c r="K58" s="84"/>
      <c r="L58" s="128" t="b">
        <v>0</v>
      </c>
      <c r="M58" s="56"/>
      <c r="N58" s="56"/>
      <c r="O58" s="56"/>
    </row>
    <row r="59" spans="1:15" ht="13.5" customHeight="1">
      <c r="A59" s="25" t="s">
        <v>153</v>
      </c>
      <c r="B59" s="47">
        <v>0</v>
      </c>
      <c r="C59" s="47">
        <v>0</v>
      </c>
      <c r="D59" s="28">
        <v>40</v>
      </c>
      <c r="E59" s="19">
        <v>0</v>
      </c>
      <c r="F59" s="28">
        <v>0</v>
      </c>
      <c r="G59" s="19">
        <f t="shared" si="3"/>
        <v>0</v>
      </c>
      <c r="H59" s="28">
        <f t="shared" si="4"/>
        <v>0</v>
      </c>
      <c r="I59" s="26">
        <f t="shared" si="5"/>
        <v>0</v>
      </c>
      <c r="J59" s="27">
        <f t="shared" si="6"/>
        <v>0</v>
      </c>
      <c r="K59" s="84"/>
      <c r="L59" s="128"/>
      <c r="M59" s="56"/>
      <c r="N59" s="56"/>
      <c r="O59" s="56"/>
    </row>
    <row r="60" spans="1:15" ht="13.5" customHeight="1">
      <c r="A60" s="36" t="s">
        <v>85</v>
      </c>
      <c r="B60" s="47">
        <v>0</v>
      </c>
      <c r="C60" s="47">
        <v>0</v>
      </c>
      <c r="D60" s="28">
        <v>110</v>
      </c>
      <c r="E60" s="19">
        <v>0</v>
      </c>
      <c r="F60" s="28">
        <v>15.5</v>
      </c>
      <c r="G60" s="19">
        <f t="shared" si="3"/>
        <v>0</v>
      </c>
      <c r="H60" s="28">
        <f t="shared" si="4"/>
        <v>0</v>
      </c>
      <c r="I60" s="26">
        <f t="shared" si="5"/>
        <v>0</v>
      </c>
      <c r="J60" s="27">
        <f t="shared" si="6"/>
        <v>0</v>
      </c>
      <c r="K60" s="84"/>
      <c r="L60" s="128"/>
      <c r="M60" s="56"/>
      <c r="N60" s="56"/>
      <c r="O60" s="56"/>
    </row>
    <row r="61" spans="1:15" ht="13.5" customHeight="1">
      <c r="A61" s="36" t="s">
        <v>106</v>
      </c>
      <c r="B61" s="47">
        <v>0</v>
      </c>
      <c r="C61" s="47">
        <v>0</v>
      </c>
      <c r="D61" s="28">
        <v>178</v>
      </c>
      <c r="E61" s="19">
        <v>0</v>
      </c>
      <c r="F61" s="129"/>
      <c r="G61" s="129">
        <f>0-(B61*127.9)</f>
        <v>0</v>
      </c>
      <c r="H61" s="28">
        <f t="shared" si="4"/>
        <v>0</v>
      </c>
      <c r="I61" s="26">
        <f t="shared" si="5"/>
        <v>0</v>
      </c>
      <c r="J61" s="27">
        <f t="shared" si="6"/>
        <v>0</v>
      </c>
      <c r="K61" s="84"/>
      <c r="L61" s="128"/>
      <c r="M61" s="56"/>
      <c r="N61" s="56"/>
      <c r="O61" s="56"/>
    </row>
    <row r="62" spans="1:15" ht="12" customHeight="1">
      <c r="A62" s="173" t="s">
        <v>101</v>
      </c>
      <c r="B62" s="47">
        <v>0</v>
      </c>
      <c r="C62" s="47">
        <v>0</v>
      </c>
      <c r="D62" s="46">
        <v>0</v>
      </c>
      <c r="E62" s="46">
        <v>0</v>
      </c>
      <c r="F62" s="46">
        <v>0</v>
      </c>
      <c r="G62" s="19">
        <f t="shared" si="3"/>
        <v>0</v>
      </c>
      <c r="H62" s="28">
        <f t="shared" si="4"/>
        <v>0</v>
      </c>
      <c r="I62" s="26">
        <f t="shared" si="5"/>
        <v>0</v>
      </c>
      <c r="J62" s="27">
        <f t="shared" si="6"/>
        <v>0</v>
      </c>
      <c r="K62" s="84"/>
      <c r="L62" s="128"/>
      <c r="M62" s="56"/>
      <c r="N62" s="56"/>
      <c r="O62" s="56"/>
    </row>
    <row r="63" spans="1:15" ht="12" customHeight="1">
      <c r="A63" s="173" t="s">
        <v>101</v>
      </c>
      <c r="B63" s="47">
        <v>0</v>
      </c>
      <c r="C63" s="47">
        <v>0</v>
      </c>
      <c r="D63" s="46">
        <v>0</v>
      </c>
      <c r="E63" s="46"/>
      <c r="F63" s="46">
        <v>0</v>
      </c>
      <c r="G63" s="19">
        <f t="shared" si="3"/>
        <v>0</v>
      </c>
      <c r="H63" s="28">
        <f t="shared" si="4"/>
        <v>0</v>
      </c>
      <c r="I63" s="26">
        <f t="shared" si="5"/>
        <v>0</v>
      </c>
      <c r="J63" s="27">
        <f t="shared" si="6"/>
        <v>0</v>
      </c>
      <c r="K63" s="84"/>
      <c r="L63" s="128"/>
      <c r="M63" s="56"/>
      <c r="N63" s="56"/>
      <c r="O63" s="56"/>
    </row>
    <row r="64" spans="1:15" ht="12" customHeight="1">
      <c r="A64" s="5"/>
      <c r="B64" s="258" t="s">
        <v>130</v>
      </c>
      <c r="C64" s="258"/>
      <c r="D64" s="259"/>
      <c r="E64" s="259"/>
      <c r="F64" s="259"/>
      <c r="G64" s="259"/>
      <c r="H64" s="296" t="s">
        <v>131</v>
      </c>
      <c r="I64" s="297"/>
      <c r="J64" s="297"/>
      <c r="K64" s="85"/>
      <c r="L64" s="56"/>
      <c r="M64" s="56"/>
      <c r="N64" s="56"/>
      <c r="O64" s="56"/>
    </row>
    <row r="65" spans="1:15" ht="12" customHeight="1" thickBot="1">
      <c r="A65" s="5"/>
      <c r="B65" s="18"/>
      <c r="C65" s="18"/>
      <c r="D65" s="18"/>
      <c r="E65" s="9"/>
      <c r="F65" s="5"/>
      <c r="G65" s="5"/>
      <c r="H65" s="5"/>
      <c r="I65" s="5"/>
      <c r="J65" s="18"/>
      <c r="K65" s="85"/>
      <c r="L65" s="56"/>
      <c r="M65" s="56"/>
      <c r="N65" s="56"/>
      <c r="O65" s="56"/>
    </row>
    <row r="66" spans="1:16" ht="39" customHeight="1" thickBot="1" thickTop="1">
      <c r="A66" s="21" t="s">
        <v>21</v>
      </c>
      <c r="B66" s="22" t="s">
        <v>31</v>
      </c>
      <c r="C66" s="22" t="s">
        <v>103</v>
      </c>
      <c r="D66" s="23" t="s">
        <v>55</v>
      </c>
      <c r="E66" s="23" t="s">
        <v>54</v>
      </c>
      <c r="F66" s="23" t="s">
        <v>46</v>
      </c>
      <c r="G66" s="23" t="s">
        <v>56</v>
      </c>
      <c r="H66" s="23" t="s">
        <v>58</v>
      </c>
      <c r="I66" s="23" t="s">
        <v>57</v>
      </c>
      <c r="J66" s="23" t="s">
        <v>104</v>
      </c>
      <c r="K66" s="83"/>
      <c r="L66" s="77"/>
      <c r="M66" s="77"/>
      <c r="N66" s="77"/>
      <c r="O66" s="77"/>
      <c r="P66" s="24"/>
    </row>
    <row r="67" spans="1:15" ht="13.5" customHeight="1" thickBot="1" thickTop="1">
      <c r="A67" s="31" t="s">
        <v>243</v>
      </c>
      <c r="B67" s="47">
        <v>1</v>
      </c>
      <c r="C67" s="47">
        <v>0</v>
      </c>
      <c r="D67" s="26">
        <v>50</v>
      </c>
      <c r="E67" s="27">
        <v>100</v>
      </c>
      <c r="F67" s="30"/>
      <c r="G67" s="30"/>
      <c r="H67" s="28">
        <f aca="true" t="shared" si="7" ref="H67:H93">(B67-C67)*D67</f>
        <v>50</v>
      </c>
      <c r="I67" s="26">
        <f aca="true" t="shared" si="8" ref="I67:I92">(B67-C67)*E67</f>
        <v>100</v>
      </c>
      <c r="J67" s="27">
        <f aca="true" t="shared" si="9" ref="J67:J93">C67*(MAX(D67,E67))</f>
        <v>0</v>
      </c>
      <c r="K67" s="84"/>
      <c r="L67" s="56"/>
      <c r="M67" s="56"/>
      <c r="N67" s="56"/>
      <c r="O67" s="56"/>
    </row>
    <row r="68" spans="1:15" ht="13.5" customHeight="1" thickTop="1">
      <c r="A68" s="31" t="s">
        <v>65</v>
      </c>
      <c r="B68" s="47">
        <v>0</v>
      </c>
      <c r="C68" s="47">
        <v>0</v>
      </c>
      <c r="D68" s="26">
        <v>25</v>
      </c>
      <c r="E68" s="27">
        <v>0</v>
      </c>
      <c r="F68" s="30"/>
      <c r="G68" s="30"/>
      <c r="H68" s="28">
        <f>(B68-C68)*D68</f>
        <v>0</v>
      </c>
      <c r="I68" s="26">
        <f>(B68-C68)*E68</f>
        <v>0</v>
      </c>
      <c r="J68" s="27">
        <f>C68*(MAX(D68,E68))</f>
        <v>0</v>
      </c>
      <c r="K68" s="84"/>
      <c r="L68" s="56"/>
      <c r="M68" s="56"/>
      <c r="N68" s="56"/>
      <c r="O68" s="56"/>
    </row>
    <row r="69" spans="1:15" ht="13.5" customHeight="1">
      <c r="A69" s="25" t="s">
        <v>37</v>
      </c>
      <c r="B69" s="47">
        <v>0</v>
      </c>
      <c r="C69" s="47">
        <v>0</v>
      </c>
      <c r="D69" s="28">
        <v>40</v>
      </c>
      <c r="E69" s="19">
        <v>0</v>
      </c>
      <c r="F69" s="29"/>
      <c r="G69" s="29"/>
      <c r="H69" s="28">
        <f t="shared" si="7"/>
        <v>0</v>
      </c>
      <c r="I69" s="26">
        <f t="shared" si="8"/>
        <v>0</v>
      </c>
      <c r="J69" s="27">
        <f t="shared" si="9"/>
        <v>0</v>
      </c>
      <c r="K69" s="84"/>
      <c r="L69" s="56"/>
      <c r="M69" s="56"/>
      <c r="N69" s="56"/>
      <c r="O69" s="56"/>
    </row>
    <row r="70" spans="1:15" ht="13.5" customHeight="1">
      <c r="A70" s="25" t="s">
        <v>38</v>
      </c>
      <c r="B70" s="47">
        <v>0</v>
      </c>
      <c r="C70" s="47">
        <v>0</v>
      </c>
      <c r="D70" s="28">
        <v>80</v>
      </c>
      <c r="E70" s="19"/>
      <c r="F70" s="29"/>
      <c r="G70" s="29"/>
      <c r="H70" s="28">
        <f t="shared" si="7"/>
        <v>0</v>
      </c>
      <c r="I70" s="26">
        <f t="shared" si="8"/>
        <v>0</v>
      </c>
      <c r="J70" s="27">
        <f t="shared" si="9"/>
        <v>0</v>
      </c>
      <c r="K70" s="84"/>
      <c r="L70" s="56"/>
      <c r="M70" s="56"/>
      <c r="N70" s="56"/>
      <c r="O70" s="56"/>
    </row>
    <row r="71" spans="1:15" ht="13.5" customHeight="1">
      <c r="A71" s="25" t="s">
        <v>89</v>
      </c>
      <c r="B71" s="47">
        <v>0</v>
      </c>
      <c r="C71" s="47">
        <v>0</v>
      </c>
      <c r="D71" s="28">
        <v>160</v>
      </c>
      <c r="E71" s="19"/>
      <c r="F71" s="29"/>
      <c r="G71" s="29"/>
      <c r="H71" s="28">
        <f t="shared" si="7"/>
        <v>0</v>
      </c>
      <c r="I71" s="26">
        <f t="shared" si="8"/>
        <v>0</v>
      </c>
      <c r="J71" s="27">
        <f t="shared" si="9"/>
        <v>0</v>
      </c>
      <c r="K71" s="84"/>
      <c r="L71" s="56"/>
      <c r="M71" s="56"/>
      <c r="N71" s="56"/>
      <c r="O71" s="56"/>
    </row>
    <row r="72" spans="1:15" ht="13.5" customHeight="1">
      <c r="A72" s="25" t="s">
        <v>22</v>
      </c>
      <c r="B72" s="47">
        <v>0</v>
      </c>
      <c r="C72" s="47">
        <v>0</v>
      </c>
      <c r="D72" s="28">
        <v>220</v>
      </c>
      <c r="E72" s="19">
        <v>300</v>
      </c>
      <c r="F72" s="29"/>
      <c r="G72" s="29"/>
      <c r="H72" s="28">
        <f t="shared" si="7"/>
        <v>0</v>
      </c>
      <c r="I72" s="26">
        <f t="shared" si="8"/>
        <v>0</v>
      </c>
      <c r="J72" s="27">
        <f t="shared" si="9"/>
        <v>0</v>
      </c>
      <c r="K72" s="84"/>
      <c r="L72" s="56"/>
      <c r="M72" s="56"/>
      <c r="N72" s="56"/>
      <c r="O72" s="56"/>
    </row>
    <row r="73" spans="1:15" ht="13.5" customHeight="1">
      <c r="A73" s="25" t="s">
        <v>74</v>
      </c>
      <c r="B73" s="47">
        <v>1</v>
      </c>
      <c r="C73" s="47">
        <v>0</v>
      </c>
      <c r="D73" s="50">
        <v>5</v>
      </c>
      <c r="E73" s="50">
        <v>15</v>
      </c>
      <c r="F73" s="29"/>
      <c r="G73" s="29"/>
      <c r="H73" s="28">
        <f t="shared" si="7"/>
        <v>5</v>
      </c>
      <c r="I73" s="26">
        <f t="shared" si="8"/>
        <v>15</v>
      </c>
      <c r="J73" s="27">
        <f t="shared" si="9"/>
        <v>0</v>
      </c>
      <c r="K73" s="84"/>
      <c r="L73" s="56"/>
      <c r="M73" s="56"/>
      <c r="N73" s="56"/>
      <c r="O73" s="56"/>
    </row>
    <row r="74" spans="1:15" ht="13.5" customHeight="1">
      <c r="A74" s="25" t="s">
        <v>95</v>
      </c>
      <c r="B74" s="47">
        <v>0</v>
      </c>
      <c r="C74" s="47">
        <v>0</v>
      </c>
      <c r="D74" s="28">
        <v>100</v>
      </c>
      <c r="E74" s="19"/>
      <c r="F74" s="29"/>
      <c r="G74" s="29"/>
      <c r="H74" s="28">
        <f t="shared" si="7"/>
        <v>0</v>
      </c>
      <c r="I74" s="26">
        <f t="shared" si="8"/>
        <v>0</v>
      </c>
      <c r="J74" s="27">
        <f t="shared" si="9"/>
        <v>0</v>
      </c>
      <c r="K74" s="84"/>
      <c r="L74" s="56"/>
      <c r="M74" s="56"/>
      <c r="N74" s="56"/>
      <c r="O74" s="56"/>
    </row>
    <row r="75" spans="1:15" ht="13.5" customHeight="1">
      <c r="A75" s="25" t="s">
        <v>96</v>
      </c>
      <c r="B75" s="47">
        <v>0</v>
      </c>
      <c r="C75" s="47">
        <v>0</v>
      </c>
      <c r="D75" s="28">
        <v>20</v>
      </c>
      <c r="E75" s="19"/>
      <c r="F75" s="29"/>
      <c r="G75" s="29"/>
      <c r="H75" s="28">
        <f t="shared" si="7"/>
        <v>0</v>
      </c>
      <c r="I75" s="26">
        <f t="shared" si="8"/>
        <v>0</v>
      </c>
      <c r="J75" s="27">
        <f t="shared" si="9"/>
        <v>0</v>
      </c>
      <c r="K75" s="84"/>
      <c r="L75" s="56"/>
      <c r="M75" s="56"/>
      <c r="N75" s="56"/>
      <c r="O75" s="56"/>
    </row>
    <row r="76" spans="1:15" ht="13.5" customHeight="1">
      <c r="A76" s="25" t="s">
        <v>111</v>
      </c>
      <c r="B76" s="47">
        <v>0</v>
      </c>
      <c r="C76" s="47">
        <v>0</v>
      </c>
      <c r="D76" s="28">
        <v>60</v>
      </c>
      <c r="E76" s="19"/>
      <c r="F76" s="29"/>
      <c r="G76" s="29"/>
      <c r="H76" s="28">
        <f t="shared" si="7"/>
        <v>0</v>
      </c>
      <c r="I76" s="26">
        <f t="shared" si="8"/>
        <v>0</v>
      </c>
      <c r="J76" s="27">
        <f t="shared" si="9"/>
        <v>0</v>
      </c>
      <c r="K76" s="84"/>
      <c r="L76" s="56"/>
      <c r="M76" s="56"/>
      <c r="N76" s="56"/>
      <c r="O76" s="56"/>
    </row>
    <row r="77" spans="1:15" ht="13.5" customHeight="1">
      <c r="A77" s="25" t="s">
        <v>97</v>
      </c>
      <c r="B77" s="47">
        <v>0</v>
      </c>
      <c r="C77" s="47">
        <v>0</v>
      </c>
      <c r="D77" s="28">
        <v>80</v>
      </c>
      <c r="E77" s="19"/>
      <c r="F77" s="29"/>
      <c r="G77" s="29"/>
      <c r="H77" s="28">
        <f t="shared" si="7"/>
        <v>0</v>
      </c>
      <c r="I77" s="26">
        <f t="shared" si="8"/>
        <v>0</v>
      </c>
      <c r="J77" s="27">
        <f t="shared" si="9"/>
        <v>0</v>
      </c>
      <c r="K77" s="84"/>
      <c r="L77" s="56"/>
      <c r="M77" s="56"/>
      <c r="N77" s="56"/>
      <c r="O77" s="56"/>
    </row>
    <row r="78" spans="1:15" ht="13.5" customHeight="1">
      <c r="A78" s="25" t="s">
        <v>90</v>
      </c>
      <c r="B78" s="47">
        <v>0</v>
      </c>
      <c r="C78" s="47">
        <v>0</v>
      </c>
      <c r="D78" s="28">
        <f>IF(K78,150,400)</f>
        <v>400</v>
      </c>
      <c r="E78" s="19"/>
      <c r="F78" s="29"/>
      <c r="G78" s="29"/>
      <c r="H78" s="28">
        <f t="shared" si="7"/>
        <v>0</v>
      </c>
      <c r="I78" s="26">
        <f t="shared" si="8"/>
        <v>0</v>
      </c>
      <c r="J78" s="27">
        <f t="shared" si="9"/>
        <v>0</v>
      </c>
      <c r="K78" s="84" t="b">
        <v>0</v>
      </c>
      <c r="L78" s="56"/>
      <c r="M78" s="56"/>
      <c r="N78" s="56"/>
      <c r="O78" s="56"/>
    </row>
    <row r="79" spans="1:15" ht="13.5" customHeight="1">
      <c r="A79" s="25" t="s">
        <v>151</v>
      </c>
      <c r="B79" s="47">
        <v>0</v>
      </c>
      <c r="C79" s="47">
        <v>0</v>
      </c>
      <c r="D79" s="28">
        <f>IF(K79,100,600)</f>
        <v>600</v>
      </c>
      <c r="E79" s="19"/>
      <c r="F79" s="29"/>
      <c r="G79" s="29"/>
      <c r="H79" s="28">
        <f>(B79-C79)*D79</f>
        <v>0</v>
      </c>
      <c r="I79" s="26">
        <f>(B79-C79)*E79</f>
        <v>0</v>
      </c>
      <c r="J79" s="27">
        <f>C79*(MAX(D79,E79))</f>
        <v>0</v>
      </c>
      <c r="K79" s="84" t="b">
        <v>0</v>
      </c>
      <c r="L79" s="56"/>
      <c r="M79" s="56"/>
      <c r="N79" s="56"/>
      <c r="O79" s="56"/>
    </row>
    <row r="80" spans="1:15" ht="13.5" customHeight="1">
      <c r="A80" s="25" t="s">
        <v>98</v>
      </c>
      <c r="B80" s="47">
        <v>0</v>
      </c>
      <c r="C80" s="47">
        <v>0</v>
      </c>
      <c r="D80" s="28">
        <v>110</v>
      </c>
      <c r="E80" s="19"/>
      <c r="F80" s="29"/>
      <c r="G80" s="29"/>
      <c r="H80" s="28">
        <f t="shared" si="7"/>
        <v>0</v>
      </c>
      <c r="I80" s="26">
        <f t="shared" si="8"/>
        <v>0</v>
      </c>
      <c r="J80" s="27">
        <f t="shared" si="9"/>
        <v>0</v>
      </c>
      <c r="K80" s="84"/>
      <c r="L80" s="56"/>
      <c r="M80" s="56"/>
      <c r="N80" s="56"/>
      <c r="O80" s="56"/>
    </row>
    <row r="81" spans="1:15" ht="13.5" customHeight="1">
      <c r="A81" s="25" t="s">
        <v>94</v>
      </c>
      <c r="B81" s="47">
        <v>0</v>
      </c>
      <c r="C81" s="47">
        <v>0</v>
      </c>
      <c r="D81" s="28">
        <f>IF(K81,17,12)</f>
        <v>12</v>
      </c>
      <c r="E81" s="19"/>
      <c r="F81" s="29"/>
      <c r="G81" s="29"/>
      <c r="H81" s="28">
        <f t="shared" si="7"/>
        <v>0</v>
      </c>
      <c r="I81" s="26">
        <f t="shared" si="8"/>
        <v>0</v>
      </c>
      <c r="J81" s="27">
        <f t="shared" si="9"/>
        <v>0</v>
      </c>
      <c r="K81" s="84" t="b">
        <v>0</v>
      </c>
      <c r="L81" s="56"/>
      <c r="M81" s="56"/>
      <c r="N81" s="56"/>
      <c r="O81" s="56"/>
    </row>
    <row r="82" spans="1:15" ht="13.5" customHeight="1">
      <c r="A82" s="25" t="s">
        <v>93</v>
      </c>
      <c r="B82" s="47">
        <v>0</v>
      </c>
      <c r="C82" s="47">
        <v>0</v>
      </c>
      <c r="D82" s="28">
        <f>IF(K82,18,13)</f>
        <v>13</v>
      </c>
      <c r="E82" s="19"/>
      <c r="F82" s="29"/>
      <c r="G82" s="29"/>
      <c r="H82" s="28">
        <f t="shared" si="7"/>
        <v>0</v>
      </c>
      <c r="I82" s="26">
        <f t="shared" si="8"/>
        <v>0</v>
      </c>
      <c r="J82" s="27">
        <f t="shared" si="9"/>
        <v>0</v>
      </c>
      <c r="K82" s="84" t="b">
        <v>0</v>
      </c>
      <c r="L82" s="56"/>
      <c r="M82" s="56"/>
      <c r="N82" s="56"/>
      <c r="O82" s="56"/>
    </row>
    <row r="83" spans="1:15" ht="13.5" customHeight="1">
      <c r="A83" s="173" t="s">
        <v>64</v>
      </c>
      <c r="B83" s="47">
        <v>0</v>
      </c>
      <c r="C83" s="47">
        <v>0</v>
      </c>
      <c r="D83" s="46">
        <v>0</v>
      </c>
      <c r="E83" s="46">
        <v>0</v>
      </c>
      <c r="F83" s="29"/>
      <c r="G83" s="29"/>
      <c r="H83" s="28">
        <f>(B83-C83)*D83</f>
        <v>0</v>
      </c>
      <c r="I83" s="26">
        <f>(B83-C83)*E83</f>
        <v>0</v>
      </c>
      <c r="J83" s="27">
        <f>C83*(MAX(D83,E83))</f>
        <v>0</v>
      </c>
      <c r="K83" s="84"/>
      <c r="L83" s="56"/>
      <c r="M83" s="56"/>
      <c r="N83" s="56"/>
      <c r="O83" s="56"/>
    </row>
    <row r="84" spans="1:15" ht="13.5" customHeight="1">
      <c r="A84" s="173" t="s">
        <v>64</v>
      </c>
      <c r="B84" s="47">
        <v>0</v>
      </c>
      <c r="C84" s="47">
        <v>0</v>
      </c>
      <c r="D84" s="46">
        <v>0</v>
      </c>
      <c r="E84" s="46">
        <v>0</v>
      </c>
      <c r="F84" s="29"/>
      <c r="G84" s="29"/>
      <c r="H84" s="28">
        <f>(B84-C84)*D84</f>
        <v>0</v>
      </c>
      <c r="I84" s="26">
        <f>(B84-C84)*E84</f>
        <v>0</v>
      </c>
      <c r="J84" s="27">
        <f>C84*(MAX(D84,E84))</f>
        <v>0</v>
      </c>
      <c r="K84" s="84"/>
      <c r="L84" s="56"/>
      <c r="M84" s="56"/>
      <c r="N84" s="56"/>
      <c r="O84" s="56"/>
    </row>
    <row r="85" spans="1:15" ht="13.5" customHeight="1">
      <c r="A85" s="173" t="s">
        <v>64</v>
      </c>
      <c r="B85" s="47">
        <v>0</v>
      </c>
      <c r="C85" s="47">
        <v>0</v>
      </c>
      <c r="D85" s="46">
        <v>0</v>
      </c>
      <c r="E85" s="46">
        <v>0</v>
      </c>
      <c r="F85" s="29"/>
      <c r="G85" s="29"/>
      <c r="H85" s="28">
        <f>(B85-C85)*D85</f>
        <v>0</v>
      </c>
      <c r="I85" s="26">
        <f>(B85-C85)*E85</f>
        <v>0</v>
      </c>
      <c r="J85" s="27">
        <f>C85*(MAX(D85,E85))</f>
        <v>0</v>
      </c>
      <c r="K85" s="84"/>
      <c r="L85" s="56"/>
      <c r="M85" s="56"/>
      <c r="N85" s="56"/>
      <c r="O85" s="56"/>
    </row>
    <row r="86" spans="1:15" ht="13.5" customHeight="1">
      <c r="A86" s="173" t="s">
        <v>258</v>
      </c>
      <c r="B86" s="47">
        <v>0</v>
      </c>
      <c r="C86" s="47">
        <v>0</v>
      </c>
      <c r="D86" s="46">
        <v>0</v>
      </c>
      <c r="E86" s="46">
        <v>0</v>
      </c>
      <c r="F86" s="29"/>
      <c r="G86" s="29"/>
      <c r="H86" s="28">
        <f t="shared" si="7"/>
        <v>0</v>
      </c>
      <c r="I86" s="26">
        <f t="shared" si="8"/>
        <v>0</v>
      </c>
      <c r="J86" s="27">
        <f t="shared" si="9"/>
        <v>0</v>
      </c>
      <c r="K86" s="84"/>
      <c r="L86" s="56"/>
      <c r="M86" s="56"/>
      <c r="N86" s="56"/>
      <c r="O86" s="56"/>
    </row>
    <row r="87" spans="1:15" ht="13.5" customHeight="1">
      <c r="A87" s="25" t="s">
        <v>99</v>
      </c>
      <c r="B87" s="47">
        <v>0</v>
      </c>
      <c r="C87" s="47">
        <v>0</v>
      </c>
      <c r="D87" s="28">
        <v>35</v>
      </c>
      <c r="E87" s="19">
        <v>65</v>
      </c>
      <c r="F87" s="29"/>
      <c r="G87" s="29"/>
      <c r="H87" s="28">
        <f t="shared" si="7"/>
        <v>0</v>
      </c>
      <c r="I87" s="26">
        <f t="shared" si="8"/>
        <v>0</v>
      </c>
      <c r="J87" s="27">
        <f t="shared" si="9"/>
        <v>0</v>
      </c>
      <c r="K87" s="84"/>
      <c r="L87" s="56"/>
      <c r="M87" s="56"/>
      <c r="N87" s="56"/>
      <c r="O87" s="56"/>
    </row>
    <row r="88" spans="1:15" ht="13.5" customHeight="1">
      <c r="A88" s="25" t="s">
        <v>100</v>
      </c>
      <c r="B88" s="47">
        <v>0</v>
      </c>
      <c r="C88" s="47">
        <v>0</v>
      </c>
      <c r="D88" s="28">
        <v>35</v>
      </c>
      <c r="E88" s="19">
        <v>130</v>
      </c>
      <c r="F88" s="29"/>
      <c r="G88" s="29"/>
      <c r="H88" s="28">
        <f t="shared" si="7"/>
        <v>0</v>
      </c>
      <c r="I88" s="26">
        <f t="shared" si="8"/>
        <v>0</v>
      </c>
      <c r="J88" s="27">
        <f t="shared" si="9"/>
        <v>0</v>
      </c>
      <c r="K88" s="84"/>
      <c r="L88" s="56"/>
      <c r="M88" s="56"/>
      <c r="N88" s="56"/>
      <c r="O88" s="56"/>
    </row>
    <row r="89" spans="1:15" ht="13.5" customHeight="1">
      <c r="A89" s="25" t="s">
        <v>12</v>
      </c>
      <c r="B89" s="47">
        <v>0</v>
      </c>
      <c r="C89" s="47">
        <v>0</v>
      </c>
      <c r="D89" s="28">
        <v>75</v>
      </c>
      <c r="E89" s="19">
        <v>110</v>
      </c>
      <c r="F89" s="29"/>
      <c r="G89" s="29"/>
      <c r="H89" s="28">
        <f t="shared" si="7"/>
        <v>0</v>
      </c>
      <c r="I89" s="26">
        <f t="shared" si="8"/>
        <v>0</v>
      </c>
      <c r="J89" s="27">
        <f t="shared" si="9"/>
        <v>0</v>
      </c>
      <c r="K89" s="84"/>
      <c r="L89" s="56"/>
      <c r="M89" s="56"/>
      <c r="N89" s="56"/>
      <c r="O89" s="56"/>
    </row>
    <row r="90" spans="1:15" ht="13.5" customHeight="1">
      <c r="A90" s="25" t="s">
        <v>91</v>
      </c>
      <c r="B90" s="47">
        <v>0</v>
      </c>
      <c r="C90" s="47">
        <v>0</v>
      </c>
      <c r="D90" s="28">
        <v>88</v>
      </c>
      <c r="E90" s="19">
        <v>0</v>
      </c>
      <c r="F90" s="29"/>
      <c r="G90" s="29"/>
      <c r="H90" s="28">
        <f t="shared" si="7"/>
        <v>0</v>
      </c>
      <c r="I90" s="26">
        <f t="shared" si="8"/>
        <v>0</v>
      </c>
      <c r="J90" s="27">
        <f t="shared" si="9"/>
        <v>0</v>
      </c>
      <c r="K90" s="84"/>
      <c r="L90" s="56"/>
      <c r="M90" s="56"/>
      <c r="N90" s="56"/>
      <c r="O90" s="56"/>
    </row>
    <row r="91" spans="1:15" ht="13.5" customHeight="1">
      <c r="A91" s="25" t="s">
        <v>92</v>
      </c>
      <c r="B91" s="47">
        <v>0</v>
      </c>
      <c r="C91" s="47">
        <v>0</v>
      </c>
      <c r="D91" s="28">
        <v>165</v>
      </c>
      <c r="E91" s="19">
        <v>0</v>
      </c>
      <c r="F91" s="29"/>
      <c r="G91" s="29"/>
      <c r="H91" s="28">
        <f t="shared" si="7"/>
        <v>0</v>
      </c>
      <c r="I91" s="26">
        <f t="shared" si="8"/>
        <v>0</v>
      </c>
      <c r="J91" s="27">
        <f t="shared" si="9"/>
        <v>0</v>
      </c>
      <c r="K91" s="84"/>
      <c r="L91" s="56"/>
      <c r="M91" s="56"/>
      <c r="N91" s="56"/>
      <c r="O91" s="56"/>
    </row>
    <row r="92" spans="1:15" ht="13.5" customHeight="1">
      <c r="A92" s="173" t="s">
        <v>257</v>
      </c>
      <c r="B92" s="47">
        <v>16</v>
      </c>
      <c r="C92" s="47">
        <v>0</v>
      </c>
      <c r="D92" s="46">
        <v>0</v>
      </c>
      <c r="E92" s="46">
        <v>0</v>
      </c>
      <c r="F92" s="29"/>
      <c r="G92" s="29"/>
      <c r="H92" s="28">
        <f t="shared" si="7"/>
        <v>0</v>
      </c>
      <c r="I92" s="26">
        <f t="shared" si="8"/>
        <v>0</v>
      </c>
      <c r="J92" s="27">
        <f t="shared" si="9"/>
        <v>0</v>
      </c>
      <c r="K92" s="84"/>
      <c r="L92" s="56"/>
      <c r="M92" s="56"/>
      <c r="N92" s="56"/>
      <c r="O92" s="56"/>
    </row>
    <row r="93" spans="1:15" ht="13.5" customHeight="1">
      <c r="A93" s="173" t="s">
        <v>258</v>
      </c>
      <c r="B93" s="47">
        <v>0</v>
      </c>
      <c r="C93" s="47">
        <v>0</v>
      </c>
      <c r="D93" s="46">
        <v>0</v>
      </c>
      <c r="E93" s="46">
        <v>0</v>
      </c>
      <c r="F93" s="29"/>
      <c r="G93" s="29"/>
      <c r="H93" s="28">
        <f t="shared" si="7"/>
        <v>0</v>
      </c>
      <c r="I93" s="26">
        <f>(B93-C93)*E93</f>
        <v>0</v>
      </c>
      <c r="J93" s="27">
        <f t="shared" si="9"/>
        <v>0</v>
      </c>
      <c r="K93" s="84"/>
      <c r="L93" s="56"/>
      <c r="M93" s="56"/>
      <c r="N93" s="56"/>
      <c r="O93" s="56"/>
    </row>
    <row r="94" spans="1:15" ht="12" customHeight="1">
      <c r="A94" s="32"/>
      <c r="B94" s="258" t="s">
        <v>130</v>
      </c>
      <c r="C94" s="258"/>
      <c r="D94" s="259"/>
      <c r="E94" s="259"/>
      <c r="F94" s="259"/>
      <c r="G94" s="259"/>
      <c r="H94" s="296" t="s">
        <v>131</v>
      </c>
      <c r="I94" s="297"/>
      <c r="J94" s="297"/>
      <c r="K94" s="85"/>
      <c r="L94" s="56"/>
      <c r="M94" s="56"/>
      <c r="N94" s="56"/>
      <c r="O94" s="56"/>
    </row>
    <row r="95" spans="1:15" ht="12" customHeight="1" thickBot="1">
      <c r="A95" s="255" t="s">
        <v>117</v>
      </c>
      <c r="B95" s="256"/>
      <c r="C95" s="256"/>
      <c r="D95" s="257"/>
      <c r="E95" s="5"/>
      <c r="F95" s="5"/>
      <c r="G95" s="5"/>
      <c r="H95" s="5"/>
      <c r="I95" s="5"/>
      <c r="J95" s="18"/>
      <c r="K95" s="85"/>
      <c r="L95" s="56"/>
      <c r="M95" s="56"/>
      <c r="N95" s="56"/>
      <c r="O95" s="56"/>
    </row>
    <row r="96" spans="1:15" ht="39" customHeight="1" thickBot="1" thickTop="1">
      <c r="A96" s="33" t="s">
        <v>0</v>
      </c>
      <c r="B96" s="34" t="s">
        <v>31</v>
      </c>
      <c r="C96" s="22" t="s">
        <v>110</v>
      </c>
      <c r="D96" s="35" t="s">
        <v>55</v>
      </c>
      <c r="E96" s="35" t="s">
        <v>54</v>
      </c>
      <c r="F96" s="35" t="s">
        <v>46</v>
      </c>
      <c r="G96" s="35" t="s">
        <v>56</v>
      </c>
      <c r="H96" s="35" t="s">
        <v>58</v>
      </c>
      <c r="I96" s="23" t="s">
        <v>57</v>
      </c>
      <c r="J96" s="23" t="s">
        <v>104</v>
      </c>
      <c r="K96" s="83" t="s">
        <v>83</v>
      </c>
      <c r="L96" s="56"/>
      <c r="M96" s="56"/>
      <c r="N96" s="56"/>
      <c r="O96" s="56"/>
    </row>
    <row r="97" spans="1:15" ht="13.5" customHeight="1" thickBot="1">
      <c r="A97" s="25" t="s">
        <v>79</v>
      </c>
      <c r="B97" s="48">
        <v>0</v>
      </c>
      <c r="C97" s="48">
        <v>0</v>
      </c>
      <c r="D97" s="29"/>
      <c r="E97" s="29"/>
      <c r="F97" s="81">
        <v>7</v>
      </c>
      <c r="G97" s="79">
        <f aca="true" t="shared" si="10" ref="G97:G102">B97*F97</f>
        <v>0</v>
      </c>
      <c r="H97" s="29"/>
      <c r="I97" s="29"/>
      <c r="J97" s="29"/>
      <c r="K97" s="84"/>
      <c r="L97" s="56"/>
      <c r="M97" s="56"/>
      <c r="N97" s="56"/>
      <c r="O97" s="56"/>
    </row>
    <row r="98" spans="1:15" ht="13.5" customHeight="1" thickBot="1">
      <c r="A98" s="25" t="s">
        <v>80</v>
      </c>
      <c r="B98" s="48">
        <v>0</v>
      </c>
      <c r="C98" s="48">
        <v>0</v>
      </c>
      <c r="D98" s="29"/>
      <c r="E98" s="29"/>
      <c r="F98" s="50">
        <v>2</v>
      </c>
      <c r="G98" s="79">
        <f t="shared" si="10"/>
        <v>0</v>
      </c>
      <c r="H98" s="29"/>
      <c r="I98" s="29"/>
      <c r="J98" s="29"/>
      <c r="K98" s="84"/>
      <c r="L98" s="56"/>
      <c r="M98" s="56"/>
      <c r="N98" s="56"/>
      <c r="O98" s="56"/>
    </row>
    <row r="99" spans="1:15" ht="13.5" customHeight="1" thickBot="1">
      <c r="A99" s="36" t="s">
        <v>2</v>
      </c>
      <c r="B99" s="48">
        <v>0</v>
      </c>
      <c r="C99" s="48">
        <v>0</v>
      </c>
      <c r="D99" s="29"/>
      <c r="E99" s="29"/>
      <c r="F99" s="50">
        <v>2</v>
      </c>
      <c r="G99" s="79">
        <f t="shared" si="10"/>
        <v>0</v>
      </c>
      <c r="H99" s="29"/>
      <c r="I99" s="29"/>
      <c r="J99" s="29"/>
      <c r="K99" s="84"/>
      <c r="L99" s="56"/>
      <c r="M99" s="56"/>
      <c r="N99" s="56"/>
      <c r="O99" s="56"/>
    </row>
    <row r="100" spans="1:15" ht="13.5" customHeight="1" thickBot="1">
      <c r="A100" s="25" t="s">
        <v>3</v>
      </c>
      <c r="B100" s="48">
        <v>0</v>
      </c>
      <c r="C100" s="48">
        <v>0</v>
      </c>
      <c r="D100" s="37"/>
      <c r="E100" s="29"/>
      <c r="F100" s="50">
        <v>0.5</v>
      </c>
      <c r="G100" s="79">
        <f t="shared" si="10"/>
        <v>0</v>
      </c>
      <c r="H100" s="29"/>
      <c r="I100" s="29"/>
      <c r="J100" s="29"/>
      <c r="K100" s="84"/>
      <c r="L100" s="56"/>
      <c r="M100" s="56"/>
      <c r="N100" s="56"/>
      <c r="O100" s="56"/>
    </row>
    <row r="101" spans="1:15" ht="13.5" customHeight="1" thickBot="1">
      <c r="A101" s="36" t="s">
        <v>4</v>
      </c>
      <c r="B101" s="48">
        <v>0</v>
      </c>
      <c r="C101" s="48">
        <v>0</v>
      </c>
      <c r="D101" s="37"/>
      <c r="E101" s="29"/>
      <c r="F101" s="50">
        <v>0.4</v>
      </c>
      <c r="G101" s="26">
        <f t="shared" si="10"/>
        <v>0</v>
      </c>
      <c r="H101" s="29"/>
      <c r="I101" s="29"/>
      <c r="J101" s="29"/>
      <c r="K101" s="84"/>
      <c r="L101" s="56"/>
      <c r="M101" s="56"/>
      <c r="N101" s="56"/>
      <c r="O101" s="56"/>
    </row>
    <row r="102" spans="1:15" ht="13.5" customHeight="1" thickBot="1">
      <c r="A102" s="36" t="s">
        <v>75</v>
      </c>
      <c r="B102" s="48">
        <v>0</v>
      </c>
      <c r="C102" s="48">
        <v>0</v>
      </c>
      <c r="D102" s="38"/>
      <c r="E102" s="30"/>
      <c r="F102" s="50">
        <v>0.4</v>
      </c>
      <c r="G102" s="26">
        <f t="shared" si="10"/>
        <v>0</v>
      </c>
      <c r="H102" s="30"/>
      <c r="I102" s="30"/>
      <c r="J102" s="30"/>
      <c r="K102" s="84"/>
      <c r="L102" s="56"/>
      <c r="M102" s="56"/>
      <c r="N102" s="56"/>
      <c r="O102" s="56"/>
    </row>
    <row r="103" spans="1:15" ht="13.5" customHeight="1" thickBot="1">
      <c r="A103" s="36" t="s">
        <v>76</v>
      </c>
      <c r="B103" s="48">
        <v>0</v>
      </c>
      <c r="C103" s="48">
        <v>0</v>
      </c>
      <c r="D103" s="29"/>
      <c r="E103" s="29"/>
      <c r="F103" s="50">
        <v>0.4</v>
      </c>
      <c r="G103" s="26">
        <f aca="true" t="shared" si="11" ref="G103:G123">B103*F103</f>
        <v>0</v>
      </c>
      <c r="H103" s="29"/>
      <c r="I103" s="29"/>
      <c r="J103" s="29"/>
      <c r="K103" s="84"/>
      <c r="L103" s="56"/>
      <c r="M103" s="56"/>
      <c r="N103" s="56"/>
      <c r="O103" s="56"/>
    </row>
    <row r="104" spans="1:15" ht="13.5" customHeight="1" thickBot="1">
      <c r="A104" s="25" t="s">
        <v>81</v>
      </c>
      <c r="B104" s="48">
        <v>32</v>
      </c>
      <c r="C104" s="48">
        <v>0</v>
      </c>
      <c r="D104" s="37"/>
      <c r="E104" s="29"/>
      <c r="F104" s="50">
        <v>1.5</v>
      </c>
      <c r="G104" s="79">
        <f>B104*F104</f>
        <v>48</v>
      </c>
      <c r="H104" s="29"/>
      <c r="I104" s="29"/>
      <c r="J104" s="29"/>
      <c r="K104" s="84"/>
      <c r="L104" s="56"/>
      <c r="M104" s="56"/>
      <c r="N104" s="56"/>
      <c r="O104" s="56"/>
    </row>
    <row r="105" spans="1:15" ht="13.5" customHeight="1" thickBot="1">
      <c r="A105" s="36" t="s">
        <v>77</v>
      </c>
      <c r="B105" s="48">
        <v>0</v>
      </c>
      <c r="C105" s="48">
        <v>0</v>
      </c>
      <c r="D105" s="37"/>
      <c r="E105" s="29"/>
      <c r="F105" s="50">
        <v>1</v>
      </c>
      <c r="G105" s="79">
        <f>B105*F105</f>
        <v>0</v>
      </c>
      <c r="H105" s="29"/>
      <c r="I105" s="29"/>
      <c r="J105" s="29"/>
      <c r="K105" s="84"/>
      <c r="L105" s="56"/>
      <c r="M105" s="56"/>
      <c r="N105" s="56"/>
      <c r="O105" s="56"/>
    </row>
    <row r="106" spans="1:15" ht="13.5" customHeight="1" thickBot="1">
      <c r="A106" s="36">
        <v>4196</v>
      </c>
      <c r="B106" s="48">
        <v>0</v>
      </c>
      <c r="C106" s="48">
        <v>0</v>
      </c>
      <c r="D106" s="37"/>
      <c r="E106" s="29"/>
      <c r="F106" s="50">
        <v>1</v>
      </c>
      <c r="G106" s="79">
        <f>B106*F106</f>
        <v>0</v>
      </c>
      <c r="H106" s="29"/>
      <c r="I106" s="29"/>
      <c r="J106" s="29"/>
      <c r="K106" s="84"/>
      <c r="L106" s="56"/>
      <c r="M106" s="56"/>
      <c r="N106" s="56"/>
      <c r="O106" s="56"/>
    </row>
    <row r="107" spans="1:15" ht="13.5" customHeight="1" thickBot="1">
      <c r="A107" s="36" t="s">
        <v>5</v>
      </c>
      <c r="B107" s="48">
        <v>0</v>
      </c>
      <c r="C107" s="48">
        <v>0</v>
      </c>
      <c r="D107" s="37"/>
      <c r="E107" s="29"/>
      <c r="F107" s="50">
        <v>15.5</v>
      </c>
      <c r="G107" s="79">
        <f>B107*F107</f>
        <v>0</v>
      </c>
      <c r="H107" s="29"/>
      <c r="I107" s="29"/>
      <c r="J107" s="29"/>
      <c r="K107" s="84"/>
      <c r="L107" s="56"/>
      <c r="M107" s="56"/>
      <c r="N107" s="56"/>
      <c r="O107" s="56"/>
    </row>
    <row r="108" spans="1:15" ht="13.5" customHeight="1" thickBot="1">
      <c r="A108" s="36" t="s">
        <v>78</v>
      </c>
      <c r="B108" s="48">
        <v>0</v>
      </c>
      <c r="C108" s="48">
        <v>0</v>
      </c>
      <c r="D108" s="29"/>
      <c r="E108" s="29"/>
      <c r="F108" s="50">
        <f>IF(K108,6,1)</f>
        <v>1</v>
      </c>
      <c r="G108" s="79">
        <f t="shared" si="11"/>
        <v>0</v>
      </c>
      <c r="H108" s="29"/>
      <c r="I108" s="29"/>
      <c r="J108" s="29"/>
      <c r="K108" s="84" t="b">
        <v>0</v>
      </c>
      <c r="L108" s="56"/>
      <c r="M108" s="56"/>
      <c r="N108" s="56"/>
      <c r="O108" s="56"/>
    </row>
    <row r="109" spans="1:15" ht="13.5" customHeight="1" thickBot="1">
      <c r="A109" s="25" t="s">
        <v>82</v>
      </c>
      <c r="B109" s="48">
        <v>0</v>
      </c>
      <c r="C109" s="48">
        <v>0</v>
      </c>
      <c r="D109" s="29"/>
      <c r="E109" s="29"/>
      <c r="F109" s="50">
        <f>IF(K109,6,1)</f>
        <v>1</v>
      </c>
      <c r="G109" s="79">
        <f>B109*F109</f>
        <v>0</v>
      </c>
      <c r="H109" s="29"/>
      <c r="I109" s="29"/>
      <c r="J109" s="29"/>
      <c r="K109" s="84" t="b">
        <v>0</v>
      </c>
      <c r="L109" s="56"/>
      <c r="M109" s="56"/>
      <c r="N109" s="56"/>
      <c r="O109" s="56"/>
    </row>
    <row r="110" spans="1:15" ht="13.5" customHeight="1" thickBot="1">
      <c r="A110" s="25" t="s">
        <v>1</v>
      </c>
      <c r="B110" s="48">
        <v>0</v>
      </c>
      <c r="C110" s="48">
        <v>0</v>
      </c>
      <c r="D110" s="29"/>
      <c r="E110" s="29"/>
      <c r="F110" s="50">
        <f>IF(K110,6,1)</f>
        <v>1</v>
      </c>
      <c r="G110" s="79">
        <f t="shared" si="11"/>
        <v>0</v>
      </c>
      <c r="H110" s="29"/>
      <c r="I110" s="29"/>
      <c r="J110" s="29"/>
      <c r="K110" s="84" t="b">
        <v>0</v>
      </c>
      <c r="L110" s="56"/>
      <c r="M110" s="56"/>
      <c r="N110" s="56"/>
      <c r="O110" s="56"/>
    </row>
    <row r="111" spans="1:15" ht="13.5" customHeight="1" thickBot="1">
      <c r="A111" s="25" t="s">
        <v>6</v>
      </c>
      <c r="B111" s="48">
        <v>0</v>
      </c>
      <c r="C111" s="48">
        <v>0</v>
      </c>
      <c r="D111" s="37"/>
      <c r="E111" s="29"/>
      <c r="F111" s="50">
        <v>1</v>
      </c>
      <c r="G111" s="79">
        <f t="shared" si="11"/>
        <v>0</v>
      </c>
      <c r="H111" s="29"/>
      <c r="I111" s="29"/>
      <c r="J111" s="29"/>
      <c r="K111" s="84"/>
      <c r="L111" s="56"/>
      <c r="M111" s="56"/>
      <c r="N111" s="56"/>
      <c r="O111" s="56"/>
    </row>
    <row r="112" spans="1:15" ht="13.5" customHeight="1" thickBot="1">
      <c r="A112" s="36" t="s">
        <v>86</v>
      </c>
      <c r="B112" s="48">
        <v>0</v>
      </c>
      <c r="C112" s="48">
        <v>0</v>
      </c>
      <c r="D112" s="37"/>
      <c r="E112" s="29"/>
      <c r="F112" s="50">
        <v>1</v>
      </c>
      <c r="G112" s="79">
        <f t="shared" si="11"/>
        <v>0</v>
      </c>
      <c r="H112" s="29"/>
      <c r="I112" s="29"/>
      <c r="J112" s="29"/>
      <c r="K112" s="84"/>
      <c r="L112" s="56"/>
      <c r="M112" s="56"/>
      <c r="N112" s="56"/>
      <c r="O112" s="56"/>
    </row>
    <row r="113" spans="1:15" ht="13.5" customHeight="1" thickBot="1">
      <c r="A113" s="36" t="s">
        <v>87</v>
      </c>
      <c r="B113" s="48">
        <v>0</v>
      </c>
      <c r="C113" s="48">
        <v>0</v>
      </c>
      <c r="D113" s="37"/>
      <c r="E113" s="29"/>
      <c r="F113" s="50">
        <v>1</v>
      </c>
      <c r="G113" s="79">
        <f t="shared" si="11"/>
        <v>0</v>
      </c>
      <c r="H113" s="29"/>
      <c r="I113" s="29"/>
      <c r="J113" s="29"/>
      <c r="K113" s="84"/>
      <c r="L113" s="56"/>
      <c r="M113" s="56"/>
      <c r="N113" s="56"/>
      <c r="O113" s="56"/>
    </row>
    <row r="114" spans="1:15" ht="13.5" customHeight="1" thickBot="1">
      <c r="A114" s="36" t="s">
        <v>7</v>
      </c>
      <c r="B114" s="48">
        <v>0</v>
      </c>
      <c r="C114" s="48">
        <v>0</v>
      </c>
      <c r="D114" s="37"/>
      <c r="E114" s="29"/>
      <c r="F114" s="50">
        <v>0.5</v>
      </c>
      <c r="G114" s="79">
        <f t="shared" si="11"/>
        <v>0</v>
      </c>
      <c r="H114" s="29"/>
      <c r="I114" s="29"/>
      <c r="J114" s="29"/>
      <c r="K114" s="84"/>
      <c r="L114" s="56"/>
      <c r="M114" s="56"/>
      <c r="N114" s="56"/>
      <c r="O114" s="56"/>
    </row>
    <row r="115" spans="1:15" ht="13.5" customHeight="1" thickBot="1">
      <c r="A115" s="36" t="s">
        <v>88</v>
      </c>
      <c r="B115" s="48">
        <v>0</v>
      </c>
      <c r="C115" s="48">
        <v>0</v>
      </c>
      <c r="D115" s="37"/>
      <c r="E115" s="29"/>
      <c r="F115" s="50">
        <v>0.5</v>
      </c>
      <c r="G115" s="79">
        <f t="shared" si="11"/>
        <v>0</v>
      </c>
      <c r="H115" s="29"/>
      <c r="I115" s="29"/>
      <c r="J115" s="29"/>
      <c r="K115" s="84"/>
      <c r="L115" s="56"/>
      <c r="M115" s="56"/>
      <c r="N115" s="56"/>
      <c r="O115" s="56"/>
    </row>
    <row r="116" spans="1:15" ht="13.5" customHeight="1" thickBot="1">
      <c r="A116" s="36" t="s">
        <v>237</v>
      </c>
      <c r="B116" s="48">
        <v>0</v>
      </c>
      <c r="C116" s="48">
        <v>0</v>
      </c>
      <c r="D116" s="37"/>
      <c r="E116" s="29"/>
      <c r="F116" s="50">
        <v>2.8</v>
      </c>
      <c r="G116" s="79">
        <f t="shared" si="11"/>
        <v>0</v>
      </c>
      <c r="H116" s="29"/>
      <c r="I116" s="29"/>
      <c r="J116" s="29"/>
      <c r="K116" s="84"/>
      <c r="L116" s="56"/>
      <c r="M116" s="56"/>
      <c r="N116" s="56"/>
      <c r="O116" s="56"/>
    </row>
    <row r="117" spans="1:15" ht="13.5" customHeight="1" thickBot="1">
      <c r="A117" s="36" t="s">
        <v>238</v>
      </c>
      <c r="B117" s="48">
        <v>0</v>
      </c>
      <c r="C117" s="48">
        <v>0</v>
      </c>
      <c r="D117" s="37"/>
      <c r="E117" s="29"/>
      <c r="F117" s="50">
        <v>2.8</v>
      </c>
      <c r="G117" s="79">
        <f t="shared" si="11"/>
        <v>0</v>
      </c>
      <c r="H117" s="29"/>
      <c r="I117" s="29"/>
      <c r="J117" s="29"/>
      <c r="K117" s="84"/>
      <c r="L117" s="56"/>
      <c r="M117" s="56"/>
      <c r="N117" s="56"/>
      <c r="O117" s="56"/>
    </row>
    <row r="118" spans="1:15" ht="13.5" customHeight="1" thickBot="1">
      <c r="A118" s="36" t="s">
        <v>150</v>
      </c>
      <c r="B118" s="48">
        <v>0</v>
      </c>
      <c r="C118" s="48">
        <v>0</v>
      </c>
      <c r="D118" s="29"/>
      <c r="E118" s="29"/>
      <c r="F118" s="50">
        <f>IF(K118,3,1)</f>
        <v>1</v>
      </c>
      <c r="G118" s="79">
        <f>B118*F118</f>
        <v>0</v>
      </c>
      <c r="H118" s="29"/>
      <c r="I118" s="29"/>
      <c r="J118" s="29"/>
      <c r="K118" s="84" t="b">
        <v>0</v>
      </c>
      <c r="L118" s="56"/>
      <c r="M118" s="56"/>
      <c r="N118" s="56"/>
      <c r="O118" s="56"/>
    </row>
    <row r="119" spans="1:15" ht="13.5" customHeight="1" thickBot="1">
      <c r="A119" s="25" t="s">
        <v>71</v>
      </c>
      <c r="B119" s="48">
        <v>0</v>
      </c>
      <c r="C119" s="48">
        <v>0</v>
      </c>
      <c r="D119" s="29"/>
      <c r="E119" s="29"/>
      <c r="F119" s="50">
        <v>1</v>
      </c>
      <c r="G119" s="79">
        <f>B119*F119</f>
        <v>0</v>
      </c>
      <c r="H119" s="29"/>
      <c r="I119" s="29"/>
      <c r="J119" s="29"/>
      <c r="K119" s="84"/>
      <c r="L119" s="56"/>
      <c r="M119" s="56"/>
      <c r="N119" s="56"/>
      <c r="O119" s="56"/>
    </row>
    <row r="120" spans="1:15" ht="13.5" customHeight="1" thickBot="1">
      <c r="A120" s="25" t="s">
        <v>13</v>
      </c>
      <c r="B120" s="48">
        <v>0</v>
      </c>
      <c r="C120" s="48">
        <v>0</v>
      </c>
      <c r="D120" s="29"/>
      <c r="E120" s="29"/>
      <c r="F120" s="50">
        <v>6</v>
      </c>
      <c r="G120" s="79">
        <f>B120*F120</f>
        <v>0</v>
      </c>
      <c r="H120" s="29"/>
      <c r="I120" s="29"/>
      <c r="J120" s="29"/>
      <c r="K120" s="84"/>
      <c r="L120" s="56"/>
      <c r="M120" s="56"/>
      <c r="N120" s="56"/>
      <c r="O120" s="56"/>
    </row>
    <row r="121" spans="1:15" ht="13.5" customHeight="1" thickBot="1">
      <c r="A121" s="25" t="s">
        <v>14</v>
      </c>
      <c r="B121" s="48">
        <v>0</v>
      </c>
      <c r="C121" s="48">
        <v>0</v>
      </c>
      <c r="D121" s="60"/>
      <c r="E121" s="61"/>
      <c r="F121" s="50">
        <v>2</v>
      </c>
      <c r="G121" s="79">
        <f>B121*F121</f>
        <v>0</v>
      </c>
      <c r="H121" s="61"/>
      <c r="I121" s="61"/>
      <c r="J121" s="61"/>
      <c r="K121" s="84"/>
      <c r="L121" s="56"/>
      <c r="M121" s="56"/>
      <c r="N121" s="56"/>
      <c r="O121" s="56"/>
    </row>
    <row r="122" spans="1:15" ht="13.5" customHeight="1" thickBot="1">
      <c r="A122" s="169" t="s">
        <v>259</v>
      </c>
      <c r="B122" s="48">
        <v>0</v>
      </c>
      <c r="C122" s="48">
        <v>0</v>
      </c>
      <c r="D122" s="60"/>
      <c r="E122" s="61"/>
      <c r="F122" s="80">
        <v>0</v>
      </c>
      <c r="G122" s="79">
        <f>B122*F122</f>
        <v>0</v>
      </c>
      <c r="H122" s="39"/>
      <c r="I122" s="39"/>
      <c r="J122" s="39"/>
      <c r="K122" s="84"/>
      <c r="L122" s="56"/>
      <c r="M122" s="56"/>
      <c r="N122" s="56"/>
      <c r="O122" s="56"/>
    </row>
    <row r="123" spans="1:15" ht="13.5" customHeight="1" thickBot="1">
      <c r="A123" s="169" t="s">
        <v>102</v>
      </c>
      <c r="B123" s="48">
        <v>0</v>
      </c>
      <c r="C123" s="48">
        <v>0</v>
      </c>
      <c r="D123" s="39"/>
      <c r="E123" s="39"/>
      <c r="F123" s="80">
        <v>0</v>
      </c>
      <c r="G123" s="79">
        <f t="shared" si="11"/>
        <v>0</v>
      </c>
      <c r="H123" s="39"/>
      <c r="I123" s="39"/>
      <c r="J123" s="39"/>
      <c r="K123" s="84"/>
      <c r="L123" s="56"/>
      <c r="M123" s="56"/>
      <c r="N123" s="56"/>
      <c r="O123" s="56"/>
    </row>
    <row r="124" spans="1:15" ht="12" customHeight="1">
      <c r="A124" s="32"/>
      <c r="B124" s="305" t="s">
        <v>118</v>
      </c>
      <c r="C124" s="305"/>
      <c r="D124" s="306"/>
      <c r="E124" s="306"/>
      <c r="F124" s="306"/>
      <c r="G124" s="306"/>
      <c r="H124" s="296" t="s">
        <v>131</v>
      </c>
      <c r="I124" s="297"/>
      <c r="J124" s="297"/>
      <c r="K124" s="86"/>
      <c r="L124" s="56"/>
      <c r="M124" s="56"/>
      <c r="N124" s="56"/>
      <c r="O124" s="56"/>
    </row>
    <row r="125" spans="1:15" ht="12" customHeight="1" thickBot="1">
      <c r="A125" s="32"/>
      <c r="B125" s="5"/>
      <c r="C125" s="5"/>
      <c r="D125" s="5"/>
      <c r="E125" s="5"/>
      <c r="F125" s="5"/>
      <c r="G125" s="5"/>
      <c r="H125" s="5"/>
      <c r="I125" s="5"/>
      <c r="J125" s="18"/>
      <c r="K125" s="86"/>
      <c r="L125" s="56"/>
      <c r="M125" s="56"/>
      <c r="N125" s="56"/>
      <c r="O125" s="56"/>
    </row>
    <row r="126" spans="1:15" ht="37.5" customHeight="1" thickBot="1" thickTop="1">
      <c r="A126" s="168" t="s">
        <v>173</v>
      </c>
      <c r="B126" s="40" t="s">
        <v>31</v>
      </c>
      <c r="C126" s="22" t="s">
        <v>103</v>
      </c>
      <c r="D126" s="35" t="s">
        <v>55</v>
      </c>
      <c r="E126" s="40" t="s">
        <v>54</v>
      </c>
      <c r="F126" s="35" t="s">
        <v>46</v>
      </c>
      <c r="G126" s="35" t="s">
        <v>56</v>
      </c>
      <c r="H126" s="35" t="s">
        <v>58</v>
      </c>
      <c r="I126" s="35" t="s">
        <v>168</v>
      </c>
      <c r="J126" s="35" t="s">
        <v>105</v>
      </c>
      <c r="K126" s="87"/>
      <c r="L126" s="56"/>
      <c r="M126" s="56"/>
      <c r="N126" s="56"/>
      <c r="O126" s="56"/>
    </row>
    <row r="127" spans="1:15" ht="13.5" customHeight="1" thickBot="1">
      <c r="A127" s="169" t="s">
        <v>169</v>
      </c>
      <c r="B127" s="47">
        <v>0</v>
      </c>
      <c r="C127" s="47">
        <v>0</v>
      </c>
      <c r="D127" s="30"/>
      <c r="E127" s="49">
        <v>0</v>
      </c>
      <c r="F127" s="30"/>
      <c r="G127" s="30"/>
      <c r="H127" s="30"/>
      <c r="I127" s="41">
        <f>(B127-C127)*E127</f>
        <v>0</v>
      </c>
      <c r="J127" s="41">
        <f>C127*E127</f>
        <v>0</v>
      </c>
      <c r="K127" s="87"/>
      <c r="L127" s="56"/>
      <c r="M127" s="56"/>
      <c r="N127" s="56"/>
      <c r="O127" s="56"/>
    </row>
    <row r="128" spans="1:15" ht="13.5" customHeight="1" thickBot="1">
      <c r="A128" s="169" t="s">
        <v>169</v>
      </c>
      <c r="B128" s="47">
        <v>0</v>
      </c>
      <c r="C128" s="47">
        <v>0</v>
      </c>
      <c r="D128" s="30"/>
      <c r="E128" s="49">
        <v>0</v>
      </c>
      <c r="F128" s="30"/>
      <c r="G128" s="30"/>
      <c r="H128" s="30"/>
      <c r="I128" s="41">
        <f>(B128-C128)*E128</f>
        <v>0</v>
      </c>
      <c r="J128" s="41">
        <f>C128*E128</f>
        <v>0</v>
      </c>
      <c r="K128" s="87"/>
      <c r="L128" s="56"/>
      <c r="M128" s="56"/>
      <c r="N128" s="56"/>
      <c r="O128" s="56"/>
    </row>
    <row r="129" spans="1:15" ht="13.5" customHeight="1" thickBot="1">
      <c r="A129" s="169" t="s">
        <v>169</v>
      </c>
      <c r="B129" s="47">
        <v>0</v>
      </c>
      <c r="C129" s="47">
        <v>0</v>
      </c>
      <c r="D129" s="30"/>
      <c r="E129" s="49">
        <v>0</v>
      </c>
      <c r="F129" s="30"/>
      <c r="G129" s="30"/>
      <c r="H129" s="30"/>
      <c r="I129" s="41">
        <f>(B129-C129)*E129</f>
        <v>0</v>
      </c>
      <c r="J129" s="41">
        <f>C129*E129</f>
        <v>0</v>
      </c>
      <c r="K129" s="87"/>
      <c r="L129" s="56"/>
      <c r="M129" s="56"/>
      <c r="N129" s="56"/>
      <c r="O129" s="56"/>
    </row>
    <row r="130" spans="1:15" ht="13.5" customHeight="1" thickBot="1">
      <c r="A130" s="169" t="s">
        <v>169</v>
      </c>
      <c r="B130" s="47">
        <v>0</v>
      </c>
      <c r="C130" s="47">
        <v>0</v>
      </c>
      <c r="D130" s="30"/>
      <c r="E130" s="49">
        <v>0</v>
      </c>
      <c r="F130" s="30"/>
      <c r="G130" s="30"/>
      <c r="H130" s="30"/>
      <c r="I130" s="41">
        <f>(B130-C130)*E130</f>
        <v>0</v>
      </c>
      <c r="J130" s="41">
        <f>C130*E130</f>
        <v>0</v>
      </c>
      <c r="K130" s="87"/>
      <c r="L130" s="56"/>
      <c r="M130" s="56"/>
      <c r="N130" s="56"/>
      <c r="O130" s="56"/>
    </row>
    <row r="131" spans="1:15" ht="13.5" customHeight="1" thickBot="1">
      <c r="A131" s="169" t="s">
        <v>169</v>
      </c>
      <c r="B131" s="47">
        <v>0</v>
      </c>
      <c r="C131" s="47">
        <v>0</v>
      </c>
      <c r="D131" s="30"/>
      <c r="E131" s="49">
        <v>0</v>
      </c>
      <c r="F131" s="30"/>
      <c r="G131" s="30"/>
      <c r="H131" s="30"/>
      <c r="I131" s="41">
        <f>(B131-C131)*E131</f>
        <v>0</v>
      </c>
      <c r="J131" s="41">
        <f>C131*E131</f>
        <v>0</v>
      </c>
      <c r="K131" s="87"/>
      <c r="L131" s="56"/>
      <c r="M131" s="56"/>
      <c r="N131" s="56"/>
      <c r="O131" s="56"/>
    </row>
    <row r="132" spans="1:15" ht="12" customHeight="1">
      <c r="A132" s="32"/>
      <c r="B132" s="307" t="s">
        <v>170</v>
      </c>
      <c r="C132" s="307"/>
      <c r="D132" s="307"/>
      <c r="E132" s="308"/>
      <c r="F132" s="5"/>
      <c r="G132" s="5"/>
      <c r="H132" s="296" t="s">
        <v>131</v>
      </c>
      <c r="I132" s="297"/>
      <c r="J132" s="297"/>
      <c r="K132" s="88"/>
      <c r="L132" s="56"/>
      <c r="M132" s="56"/>
      <c r="N132" s="56"/>
      <c r="O132" s="56"/>
    </row>
    <row r="133" spans="1:15" ht="13.5" customHeight="1" thickBot="1">
      <c r="A133" s="42"/>
      <c r="B133" s="5"/>
      <c r="C133" s="5"/>
      <c r="D133" s="5"/>
      <c r="E133" s="5"/>
      <c r="F133" s="5"/>
      <c r="G133" s="5"/>
      <c r="H133" s="5"/>
      <c r="I133" s="5"/>
      <c r="J133" s="5"/>
      <c r="K133" s="89"/>
      <c r="L133" s="56"/>
      <c r="M133" s="56"/>
      <c r="N133" s="56"/>
      <c r="O133" s="56"/>
    </row>
    <row r="134" spans="1:15" ht="37.5" customHeight="1" thickBot="1" thickTop="1">
      <c r="A134" s="168" t="s">
        <v>174</v>
      </c>
      <c r="B134" s="40" t="s">
        <v>31</v>
      </c>
      <c r="C134" s="22" t="s">
        <v>103</v>
      </c>
      <c r="D134" s="35" t="s">
        <v>55</v>
      </c>
      <c r="E134" s="40" t="s">
        <v>54</v>
      </c>
      <c r="F134" s="35" t="s">
        <v>46</v>
      </c>
      <c r="G134" s="35" t="s">
        <v>56</v>
      </c>
      <c r="H134" s="35" t="s">
        <v>58</v>
      </c>
      <c r="I134" s="35" t="s">
        <v>171</v>
      </c>
      <c r="J134" s="35" t="s">
        <v>105</v>
      </c>
      <c r="K134" s="87"/>
      <c r="L134" s="56"/>
      <c r="M134" s="56"/>
      <c r="N134" s="56"/>
      <c r="O134" s="56"/>
    </row>
    <row r="135" spans="1:15" ht="13.5" customHeight="1" thickBot="1">
      <c r="A135" s="169" t="s">
        <v>169</v>
      </c>
      <c r="B135" s="47">
        <v>0</v>
      </c>
      <c r="C135" s="170">
        <v>0</v>
      </c>
      <c r="D135" s="30"/>
      <c r="E135" s="49">
        <v>0</v>
      </c>
      <c r="F135" s="30"/>
      <c r="G135" s="30"/>
      <c r="H135" s="30"/>
      <c r="I135" s="41">
        <f>(B135-C135)*E135</f>
        <v>0</v>
      </c>
      <c r="J135" s="41">
        <f>C135*E135</f>
        <v>0</v>
      </c>
      <c r="K135" s="87"/>
      <c r="L135" s="56"/>
      <c r="M135" s="56"/>
      <c r="N135" s="56"/>
      <c r="O135" s="56"/>
    </row>
    <row r="136" spans="1:15" ht="13.5" customHeight="1" thickBot="1">
      <c r="A136" s="169" t="s">
        <v>169</v>
      </c>
      <c r="B136" s="47">
        <v>0</v>
      </c>
      <c r="C136" s="170">
        <v>0</v>
      </c>
      <c r="D136" s="30"/>
      <c r="E136" s="49">
        <v>0</v>
      </c>
      <c r="F136" s="30"/>
      <c r="G136" s="30"/>
      <c r="H136" s="30"/>
      <c r="I136" s="41">
        <f>(B136-C136)*E136</f>
        <v>0</v>
      </c>
      <c r="J136" s="41">
        <f>C136*E136</f>
        <v>0</v>
      </c>
      <c r="K136" s="87"/>
      <c r="L136" s="56"/>
      <c r="M136" s="56"/>
      <c r="N136" s="56"/>
      <c r="O136" s="56"/>
    </row>
    <row r="137" spans="1:15" ht="13.5" customHeight="1" thickBot="1">
      <c r="A137" s="169" t="s">
        <v>169</v>
      </c>
      <c r="B137" s="47">
        <v>0</v>
      </c>
      <c r="C137" s="170">
        <v>0</v>
      </c>
      <c r="D137" s="30"/>
      <c r="E137" s="49">
        <v>0</v>
      </c>
      <c r="F137" s="30"/>
      <c r="G137" s="30"/>
      <c r="H137" s="30"/>
      <c r="I137" s="41">
        <f>(B137-C137)*E137</f>
        <v>0</v>
      </c>
      <c r="J137" s="41">
        <f>C137*E137</f>
        <v>0</v>
      </c>
      <c r="K137" s="87"/>
      <c r="L137" s="56"/>
      <c r="M137" s="56"/>
      <c r="N137" s="56"/>
      <c r="O137" s="56"/>
    </row>
    <row r="138" spans="1:15" ht="13.5" customHeight="1" thickBot="1">
      <c r="A138" s="169" t="s">
        <v>169</v>
      </c>
      <c r="B138" s="47">
        <v>0</v>
      </c>
      <c r="C138" s="170">
        <v>0</v>
      </c>
      <c r="D138" s="30"/>
      <c r="E138" s="49">
        <v>0</v>
      </c>
      <c r="F138" s="30"/>
      <c r="G138" s="30"/>
      <c r="H138" s="30"/>
      <c r="I138" s="41">
        <f>(B138-C138)*E138</f>
        <v>0</v>
      </c>
      <c r="J138" s="41">
        <f>C138*E138</f>
        <v>0</v>
      </c>
      <c r="K138" s="87"/>
      <c r="L138" s="56"/>
      <c r="M138" s="56"/>
      <c r="N138" s="56"/>
      <c r="O138" s="56"/>
    </row>
    <row r="139" spans="1:15" ht="13.5" customHeight="1" thickBot="1">
      <c r="A139" s="169" t="s">
        <v>169</v>
      </c>
      <c r="B139" s="47">
        <v>0</v>
      </c>
      <c r="C139" s="170">
        <v>0</v>
      </c>
      <c r="D139" s="30"/>
      <c r="E139" s="49">
        <v>0</v>
      </c>
      <c r="F139" s="30"/>
      <c r="G139" s="30"/>
      <c r="H139" s="30"/>
      <c r="I139" s="41">
        <f>(B139-C139)*E139</f>
        <v>0</v>
      </c>
      <c r="J139" s="41">
        <f>C139*E139</f>
        <v>0</v>
      </c>
      <c r="K139" s="87"/>
      <c r="L139" s="56"/>
      <c r="M139" s="56"/>
      <c r="N139" s="56"/>
      <c r="O139" s="56"/>
    </row>
    <row r="140" spans="1:15" ht="12" customHeight="1" thickBot="1">
      <c r="A140" s="32"/>
      <c r="B140" s="307" t="s">
        <v>172</v>
      </c>
      <c r="C140" s="307"/>
      <c r="D140" s="307"/>
      <c r="E140" s="308"/>
      <c r="F140" s="5"/>
      <c r="G140" s="5"/>
      <c r="H140" s="296" t="s">
        <v>131</v>
      </c>
      <c r="I140" s="297"/>
      <c r="J140" s="297"/>
      <c r="K140" s="88"/>
      <c r="L140" s="56"/>
      <c r="M140" s="56"/>
      <c r="N140" s="56"/>
      <c r="O140" s="56"/>
    </row>
    <row r="141" spans="1:16" ht="39" customHeight="1" thickBot="1" thickTop="1">
      <c r="A141" s="21" t="s">
        <v>205</v>
      </c>
      <c r="B141" s="23" t="s">
        <v>189</v>
      </c>
      <c r="C141" s="254" t="s">
        <v>195</v>
      </c>
      <c r="D141" s="262"/>
      <c r="E141" s="198" t="str">
        <f>IF((L142=1),("Ohms per 1000 ft"),("Ohms per 1000 m"))</f>
        <v>Ohms per 1000 ft</v>
      </c>
      <c r="F141" s="197" t="s">
        <v>232</v>
      </c>
      <c r="G141" s="23" t="s">
        <v>197</v>
      </c>
      <c r="H141" s="23" t="s">
        <v>199</v>
      </c>
      <c r="I141" s="23" t="s">
        <v>198</v>
      </c>
      <c r="J141" s="23" t="s">
        <v>196</v>
      </c>
      <c r="K141" s="83"/>
      <c r="L141" s="233" t="s">
        <v>190</v>
      </c>
      <c r="M141" s="77"/>
      <c r="N141" s="77"/>
      <c r="O141" s="77"/>
      <c r="P141" s="24"/>
    </row>
    <row r="142" spans="1:15" ht="17.25" customHeight="1" thickTop="1">
      <c r="A142" s="25" t="s">
        <v>246</v>
      </c>
      <c r="B142" s="26"/>
      <c r="C142" s="263"/>
      <c r="D142" s="264"/>
      <c r="E142" s="195">
        <f>IF((L142=1),(VLOOKUP(Data!$E$34,Wire_Run_Data,3)),(VLOOKUP(Data!$E$34,Wire_Run_Data,4)))</f>
        <v>0</v>
      </c>
      <c r="F142" s="226">
        <f>D13</f>
        <v>265</v>
      </c>
      <c r="G142" s="232">
        <v>2</v>
      </c>
      <c r="H142" s="194">
        <f>(((G142*2)/1000)*E142)</f>
        <v>0</v>
      </c>
      <c r="I142" s="193">
        <f>12-((F142/1000)*H142)</f>
        <v>12</v>
      </c>
      <c r="J142" s="193">
        <f>100-((I142/12)*100)</f>
        <v>0</v>
      </c>
      <c r="K142" s="84"/>
      <c r="L142" s="128">
        <f>Data!$I$34</f>
        <v>1</v>
      </c>
      <c r="M142" s="56"/>
      <c r="N142" s="56"/>
      <c r="O142" s="56"/>
    </row>
    <row r="143" spans="1:15" ht="17.25" customHeight="1">
      <c r="A143" s="25" t="s">
        <v>247</v>
      </c>
      <c r="B143" s="28"/>
      <c r="C143" s="265"/>
      <c r="D143" s="266"/>
      <c r="E143" s="196">
        <f>IF((L143=1),(VLOOKUP(Data!$E$35,Wire_Run_Data,3)),(VLOOKUP(Data!$E$35,Wire_Run_Data,4)))</f>
        <v>0</v>
      </c>
      <c r="F143" s="227">
        <f>G13</f>
        <v>0</v>
      </c>
      <c r="G143" s="46">
        <v>0</v>
      </c>
      <c r="H143" s="194">
        <f>(((G143*2)/1000)*E143)</f>
        <v>0</v>
      </c>
      <c r="I143" s="193">
        <f>12-((F143/1000)*H143)</f>
        <v>12</v>
      </c>
      <c r="J143" s="193">
        <f>100-((I143/12)*100)</f>
        <v>0</v>
      </c>
      <c r="K143" s="84"/>
      <c r="L143" s="128">
        <f>Data!$I$34</f>
        <v>1</v>
      </c>
      <c r="M143" s="56"/>
      <c r="N143" s="56"/>
      <c r="O143" s="56"/>
    </row>
    <row r="144" spans="1:15" ht="17.25" customHeight="1">
      <c r="A144" s="25" t="s">
        <v>248</v>
      </c>
      <c r="B144" s="28"/>
      <c r="C144" s="265"/>
      <c r="D144" s="266"/>
      <c r="E144" s="196">
        <f>IF((L143=1),(VLOOKUP(Data!$E$36,Wire_Run_Data,3)),(VLOOKUP(Data!$E$36,Wire_Run_Data,4)))</f>
        <v>0</v>
      </c>
      <c r="F144" s="228">
        <f>H13</f>
        <v>0</v>
      </c>
      <c r="G144" s="46">
        <v>0</v>
      </c>
      <c r="H144" s="194">
        <f>(((G144*2)/1000)*E144)</f>
        <v>0</v>
      </c>
      <c r="I144" s="193">
        <f>12-((F144/1000)*H144)</f>
        <v>12</v>
      </c>
      <c r="J144" s="193">
        <f>100-((I144/12)*100)</f>
        <v>0</v>
      </c>
      <c r="K144" s="84"/>
      <c r="L144" s="128">
        <f>Data!$I$34</f>
        <v>1</v>
      </c>
      <c r="M144" s="56"/>
      <c r="N144" s="56"/>
      <c r="O144" s="56"/>
    </row>
    <row r="145" spans="1:15" ht="12" customHeight="1">
      <c r="A145" s="32"/>
      <c r="B145" s="199"/>
      <c r="C145" s="199"/>
      <c r="D145" s="199"/>
      <c r="E145" s="5"/>
      <c r="F145" s="5"/>
      <c r="G145" s="5"/>
      <c r="H145" s="200"/>
      <c r="I145" s="5"/>
      <c r="J145" s="5"/>
      <c r="K145" s="88"/>
      <c r="L145" s="56"/>
      <c r="M145" s="56"/>
      <c r="N145" s="56"/>
      <c r="O145" s="56"/>
    </row>
    <row r="146" spans="1:15" ht="12" customHeight="1">
      <c r="A146" s="32"/>
      <c r="B146" s="199"/>
      <c r="C146" s="199"/>
      <c r="D146" s="199"/>
      <c r="E146" s="5"/>
      <c r="F146" s="5"/>
      <c r="G146" s="5"/>
      <c r="H146" s="200"/>
      <c r="I146" s="5"/>
      <c r="J146" s="5"/>
      <c r="K146" s="88"/>
      <c r="L146" s="56"/>
      <c r="M146" s="56"/>
      <c r="N146" s="56"/>
      <c r="O146" s="56"/>
    </row>
    <row r="147" spans="1:15" ht="12" customHeight="1">
      <c r="A147" s="219"/>
      <c r="B147" s="220"/>
      <c r="C147" s="220"/>
      <c r="D147" s="220"/>
      <c r="E147" s="221"/>
      <c r="F147" s="221"/>
      <c r="G147" s="221"/>
      <c r="H147" s="222"/>
      <c r="I147" s="221"/>
      <c r="J147" s="221"/>
      <c r="K147" s="223"/>
      <c r="L147" s="224"/>
      <c r="M147" s="224"/>
      <c r="N147" s="224"/>
      <c r="O147" s="224"/>
    </row>
    <row r="148" spans="1:15" ht="12.75">
      <c r="A148" s="59"/>
      <c r="B148" s="59"/>
      <c r="C148" s="5"/>
      <c r="D148" s="5"/>
      <c r="E148" s="5"/>
      <c r="F148" s="5"/>
      <c r="G148" s="5"/>
      <c r="H148" s="5"/>
      <c r="I148" s="5"/>
      <c r="J148" s="5"/>
      <c r="K148" s="5"/>
      <c r="L148" s="74"/>
      <c r="M148" s="74"/>
      <c r="N148" s="74"/>
      <c r="O148" s="74"/>
    </row>
    <row r="149" spans="1:15" ht="21" thickBot="1">
      <c r="A149" s="149" t="s">
        <v>200</v>
      </c>
      <c r="B149" s="5"/>
      <c r="C149" s="5"/>
      <c r="D149" s="5"/>
      <c r="E149" s="5"/>
      <c r="F149" s="5"/>
      <c r="G149" s="5"/>
      <c r="H149" s="311" t="s">
        <v>233</v>
      </c>
      <c r="I149" s="311"/>
      <c r="J149" s="311"/>
      <c r="K149" s="7"/>
      <c r="L149" s="74"/>
      <c r="M149" s="74"/>
      <c r="N149" s="74"/>
      <c r="O149" s="74"/>
    </row>
    <row r="150" spans="1:15" ht="15" customHeight="1" thickTop="1">
      <c r="A150" s="12" t="s">
        <v>32</v>
      </c>
      <c r="B150" s="5"/>
      <c r="C150" s="5"/>
      <c r="D150" s="5"/>
      <c r="E150" s="5"/>
      <c r="F150" s="5"/>
      <c r="G150" s="5"/>
      <c r="H150" s="287" t="s">
        <v>108</v>
      </c>
      <c r="I150" s="288"/>
      <c r="J150" s="234">
        <f>J3</f>
        <v>24</v>
      </c>
      <c r="K150" s="89"/>
      <c r="L150" s="75"/>
      <c r="M150" s="75"/>
      <c r="N150" s="75"/>
      <c r="O150" s="75"/>
    </row>
    <row r="151" spans="1:15" ht="14.25" customHeight="1">
      <c r="A151" s="151" t="s">
        <v>152</v>
      </c>
      <c r="B151" s="5"/>
      <c r="C151" s="5"/>
      <c r="D151" s="5"/>
      <c r="E151" s="5"/>
      <c r="F151" s="5"/>
      <c r="G151" s="5"/>
      <c r="H151" s="289" t="s">
        <v>109</v>
      </c>
      <c r="I151" s="290"/>
      <c r="J151" s="235">
        <f>J4</f>
        <v>10</v>
      </c>
      <c r="K151" s="144"/>
      <c r="L151" s="75"/>
      <c r="M151" s="75"/>
      <c r="N151" s="75"/>
      <c r="O151" s="75"/>
    </row>
    <row r="152" spans="1:15" ht="15">
      <c r="A152" s="12"/>
      <c r="B152" s="5"/>
      <c r="C152" s="5"/>
      <c r="D152" s="5"/>
      <c r="E152" s="5"/>
      <c r="F152" s="5"/>
      <c r="G152" s="5"/>
      <c r="H152" s="260" t="s">
        <v>207</v>
      </c>
      <c r="I152" s="261"/>
      <c r="J152" s="236">
        <f>(((J150*I160)*(Data!$B$23))+(J160*(J151/60)))*0.001</f>
        <v>8.477119333333333</v>
      </c>
      <c r="K152" s="144"/>
      <c r="L152" s="75">
        <v>4</v>
      </c>
      <c r="M152" s="75"/>
      <c r="N152" s="75"/>
      <c r="O152" s="75"/>
    </row>
    <row r="153" spans="1:15" ht="12.75">
      <c r="A153" s="10"/>
      <c r="B153" s="5"/>
      <c r="C153" s="5"/>
      <c r="D153" s="5"/>
      <c r="E153" s="5"/>
      <c r="F153" s="314" t="s">
        <v>230</v>
      </c>
      <c r="G153" s="315"/>
      <c r="H153" s="315"/>
      <c r="I153" s="316"/>
      <c r="J153" s="312">
        <f>VLOOKUP(($J$152/2),{0,7;7.1,12;12.1,17.2;17.3,"over"},2)</f>
        <v>7</v>
      </c>
      <c r="K153" s="144"/>
      <c r="L153" s="280"/>
      <c r="M153" s="76"/>
      <c r="N153" s="76"/>
      <c r="O153" s="76"/>
    </row>
    <row r="154" spans="1:15" ht="18" customHeight="1" thickBot="1">
      <c r="A154" s="10"/>
      <c r="B154" s="5"/>
      <c r="C154" s="5"/>
      <c r="D154" s="5"/>
      <c r="E154" s="5"/>
      <c r="F154" s="315"/>
      <c r="G154" s="315"/>
      <c r="H154" s="315"/>
      <c r="I154" s="316"/>
      <c r="J154" s="313">
        <f>VLOOKUP($J$152,{0,7;8,12;12.1,17.2;17.3,"over"},2)</f>
        <v>12</v>
      </c>
      <c r="K154" s="144"/>
      <c r="L154" s="280"/>
      <c r="M154" s="124"/>
      <c r="N154" s="124"/>
      <c r="O154" s="124"/>
    </row>
    <row r="155" spans="1:15" ht="18.75" customHeight="1">
      <c r="A155" s="5"/>
      <c r="B155" s="5"/>
      <c r="C155" s="5"/>
      <c r="D155" s="5"/>
      <c r="E155" s="14"/>
      <c r="F155" s="14"/>
      <c r="G155" s="14"/>
      <c r="H155" s="294" t="str">
        <f>IF((VLOOKUP(Data!$R$1,Main_Panel_Data,17))&lt;(J153),"Recommended Battery Exceeds Panel's Max Battery Size!","Recommended Battery Capacity OK for 48-Hr Recharge")</f>
        <v>Recommended Battery Capacity OK for 48-Hr Recharge</v>
      </c>
      <c r="I155" s="295"/>
      <c r="J155" s="295"/>
      <c r="K155" s="295"/>
      <c r="L155" s="74"/>
      <c r="M155" s="125" t="b">
        <v>0</v>
      </c>
      <c r="N155" s="126" t="b">
        <v>0</v>
      </c>
      <c r="O155" s="127" t="b">
        <v>0</v>
      </c>
    </row>
    <row r="156" spans="1:15" ht="15">
      <c r="A156" s="118">
        <f>IF((VLOOKUP(Data!$R$1,Main_Panel_Data,16))=0,"Selected Panel NOT Comm'l Fire Rated","")</f>
      </c>
      <c r="B156" s="309" t="s">
        <v>206</v>
      </c>
      <c r="C156" s="310"/>
      <c r="D156" s="310"/>
      <c r="E156" s="310"/>
      <c r="F156" s="310"/>
      <c r="G156" s="310"/>
      <c r="H156" s="310"/>
      <c r="I156" s="299"/>
      <c r="J156" s="300"/>
      <c r="K156" s="266"/>
      <c r="L156" s="74"/>
      <c r="M156" s="128">
        <v>1</v>
      </c>
      <c r="N156" s="128"/>
      <c r="O156" s="128"/>
    </row>
    <row r="157" spans="1:15" ht="32.25" customHeight="1">
      <c r="A157" s="149"/>
      <c r="B157" s="16" t="s">
        <v>209</v>
      </c>
      <c r="C157" s="95" t="s">
        <v>208</v>
      </c>
      <c r="D157" s="110" t="s">
        <v>212</v>
      </c>
      <c r="E157" s="16" t="s">
        <v>213</v>
      </c>
      <c r="F157" s="16" t="s">
        <v>211</v>
      </c>
      <c r="G157" s="16" t="s">
        <v>210</v>
      </c>
      <c r="H157" s="16" t="s">
        <v>229</v>
      </c>
      <c r="I157" s="91" t="s">
        <v>215</v>
      </c>
      <c r="J157" s="145" t="s">
        <v>214</v>
      </c>
      <c r="K157" s="95" t="s">
        <v>216</v>
      </c>
      <c r="L157" s="233" t="s">
        <v>190</v>
      </c>
      <c r="M157" s="57"/>
      <c r="N157" s="57"/>
      <c r="O157" s="57"/>
    </row>
    <row r="158" spans="1:16" ht="15.75" customHeight="1">
      <c r="A158" s="12"/>
      <c r="B158" s="225">
        <f>I13+E11</f>
        <v>448</v>
      </c>
      <c r="C158" s="245">
        <f>J13+F11</f>
        <v>783</v>
      </c>
      <c r="D158" s="244">
        <v>570</v>
      </c>
      <c r="E158" s="209">
        <v>1700</v>
      </c>
      <c r="F158" s="209">
        <v>570</v>
      </c>
      <c r="G158" s="209">
        <v>1700</v>
      </c>
      <c r="H158" s="209">
        <v>40</v>
      </c>
      <c r="I158" s="92">
        <v>610</v>
      </c>
      <c r="J158" s="109">
        <v>4180</v>
      </c>
      <c r="K158" s="96">
        <v>34.4</v>
      </c>
      <c r="L158" s="128" t="b">
        <v>1</v>
      </c>
      <c r="M158" s="56"/>
      <c r="N158" s="56"/>
      <c r="O158" s="56"/>
      <c r="P158" s="17"/>
    </row>
    <row r="159" spans="1:15" ht="12" customHeight="1">
      <c r="A159" s="10"/>
      <c r="B159" s="210"/>
      <c r="C159" s="112"/>
      <c r="D159" s="58"/>
      <c r="E159" s="210"/>
      <c r="F159" s="210"/>
      <c r="G159" s="210"/>
      <c r="H159" s="210"/>
      <c r="I159" s="138" t="s">
        <v>126</v>
      </c>
      <c r="J159" s="139" t="s">
        <v>128</v>
      </c>
      <c r="K159" s="112"/>
      <c r="L159" s="128"/>
      <c r="M159" s="74"/>
      <c r="N159" s="74"/>
      <c r="O159" s="74"/>
    </row>
    <row r="160" spans="1:15" ht="12" customHeight="1">
      <c r="A160" s="13" t="s">
        <v>239</v>
      </c>
      <c r="B160" s="211">
        <f>IF(L158,(I13+E11)*0.62,0)</f>
        <v>277.76</v>
      </c>
      <c r="C160" s="246">
        <f>IF(L158,(J13+F11)*0.62,0)</f>
        <v>485.46</v>
      </c>
      <c r="D160" s="93">
        <f>SUM(G165:G180)</f>
        <v>0</v>
      </c>
      <c r="E160" s="212">
        <f>SUM(H165:H180)</f>
        <v>2.1420000000000003</v>
      </c>
      <c r="F160" s="212">
        <f>SUM(I165:I180)</f>
        <v>0</v>
      </c>
      <c r="G160" s="212">
        <f>SUM(J165:J180)</f>
        <v>1.9300000000000002</v>
      </c>
      <c r="H160" s="19">
        <f>H158</f>
        <v>40</v>
      </c>
      <c r="I160" s="93">
        <f>40+(B160+D160+F160)</f>
        <v>317.76</v>
      </c>
      <c r="J160" s="150">
        <f>C160+E160+G160+H160</f>
        <v>529.5319999999999</v>
      </c>
      <c r="K160" s="113"/>
      <c r="L160" s="128"/>
      <c r="M160" s="74"/>
      <c r="N160" s="74"/>
      <c r="O160" s="74"/>
    </row>
    <row r="161" spans="1:15" ht="12" customHeight="1">
      <c r="A161" s="243" t="s">
        <v>240</v>
      </c>
      <c r="B161" s="210"/>
      <c r="C161" s="112"/>
      <c r="D161" s="58"/>
      <c r="E161" s="210"/>
      <c r="F161" s="210"/>
      <c r="G161" s="213"/>
      <c r="H161" s="210"/>
      <c r="I161" s="138" t="s">
        <v>127</v>
      </c>
      <c r="J161" s="140" t="s">
        <v>129</v>
      </c>
      <c r="K161" s="112"/>
      <c r="L161" s="128"/>
      <c r="M161" s="74"/>
      <c r="N161" s="74"/>
      <c r="O161" s="74"/>
    </row>
    <row r="162" spans="1:15" ht="12" customHeight="1">
      <c r="A162" s="13" t="s">
        <v>62</v>
      </c>
      <c r="B162" s="214">
        <f>B158-B160</f>
        <v>170.24</v>
      </c>
      <c r="C162" s="100">
        <f>(C158-C160)</f>
        <v>297.54</v>
      </c>
      <c r="D162" s="94">
        <f>(D158-D160)</f>
        <v>570</v>
      </c>
      <c r="E162" s="214">
        <f>(E158-E160)</f>
        <v>1697.858</v>
      </c>
      <c r="F162" s="214">
        <f>(F158-F160)</f>
        <v>570</v>
      </c>
      <c r="G162" s="214">
        <f>G158-G160</f>
        <v>1698.07</v>
      </c>
      <c r="H162" s="229"/>
      <c r="I162" s="94">
        <f>I158-I160</f>
        <v>292.24</v>
      </c>
      <c r="J162" s="100">
        <f>J158-J160</f>
        <v>3650.468</v>
      </c>
      <c r="K162" s="100">
        <f>(K158-K160)</f>
        <v>34.4</v>
      </c>
      <c r="L162" s="128"/>
      <c r="M162" s="74"/>
      <c r="N162" s="74"/>
      <c r="O162" s="74"/>
    </row>
    <row r="163" spans="1:15" ht="12" customHeight="1" thickBot="1">
      <c r="A163" s="208"/>
      <c r="B163" s="142"/>
      <c r="C163" s="142"/>
      <c r="D163" s="142"/>
      <c r="E163" s="9"/>
      <c r="F163" s="9"/>
      <c r="G163" s="142" t="str">
        <f>IF(G162&lt;0,"Overdraw!","Current OK")</f>
        <v>Current OK</v>
      </c>
      <c r="H163" s="142">
        <v>0</v>
      </c>
      <c r="I163" s="137" t="str">
        <f>IF(I162&lt;0,"Overdraw!","Current OK")</f>
        <v>Current OK</v>
      </c>
      <c r="J163" s="137" t="str">
        <f>IF(J162&lt;0,"Overdraw!","Current OK")</f>
        <v>Current OK</v>
      </c>
      <c r="K163" s="142"/>
      <c r="L163" s="74"/>
      <c r="M163" s="74"/>
      <c r="N163" s="74"/>
      <c r="O163" s="74"/>
    </row>
    <row r="164" spans="1:16" ht="39" customHeight="1" thickBot="1" thickTop="1">
      <c r="A164" s="230" t="s">
        <v>236</v>
      </c>
      <c r="B164" s="23" t="s">
        <v>31</v>
      </c>
      <c r="C164" s="23" t="s">
        <v>222</v>
      </c>
      <c r="D164" s="23" t="s">
        <v>223</v>
      </c>
      <c r="E164" s="23" t="s">
        <v>224</v>
      </c>
      <c r="F164" s="23"/>
      <c r="G164" s="23" t="s">
        <v>225</v>
      </c>
      <c r="H164" s="23" t="s">
        <v>227</v>
      </c>
      <c r="I164" s="23" t="s">
        <v>226</v>
      </c>
      <c r="J164" s="23" t="s">
        <v>228</v>
      </c>
      <c r="K164" s="83"/>
      <c r="L164" s="218" t="s">
        <v>220</v>
      </c>
      <c r="M164" s="77"/>
      <c r="N164" s="77"/>
      <c r="O164" s="77"/>
      <c r="P164" s="24"/>
    </row>
    <row r="165" spans="1:15" ht="19.5" customHeight="1" thickTop="1">
      <c r="A165" s="231" t="s">
        <v>261</v>
      </c>
      <c r="B165" s="47">
        <v>6</v>
      </c>
      <c r="C165" s="26">
        <v>0</v>
      </c>
      <c r="D165" s="232">
        <v>0</v>
      </c>
      <c r="E165" s="232">
        <v>0.176</v>
      </c>
      <c r="F165" s="30"/>
      <c r="G165" s="26">
        <f aca="true" t="shared" si="12" ref="G165:G180">IF(L165=1,(B165*D165),0)</f>
        <v>0</v>
      </c>
      <c r="H165" s="28">
        <f aca="true" t="shared" si="13" ref="H165:H180">IF(L165=1,(B165*E165),0)</f>
        <v>1.056</v>
      </c>
      <c r="I165" s="26">
        <f aca="true" t="shared" si="14" ref="I165:I180">IF(L165=1,0,(B165*D165))</f>
        <v>0</v>
      </c>
      <c r="J165" s="27">
        <f aca="true" t="shared" si="15" ref="J165:J180">IF(L165=1,0,(B165*E165))</f>
        <v>0</v>
      </c>
      <c r="K165" s="84">
        <v>3</v>
      </c>
      <c r="L165" s="128">
        <v>1</v>
      </c>
      <c r="M165" s="56"/>
      <c r="N165" s="56"/>
      <c r="O165" s="56"/>
    </row>
    <row r="166" spans="1:15" ht="19.5" customHeight="1">
      <c r="A166" s="231" t="s">
        <v>263</v>
      </c>
      <c r="B166" s="47">
        <v>10</v>
      </c>
      <c r="C166" s="26">
        <v>0</v>
      </c>
      <c r="D166" s="232">
        <v>0</v>
      </c>
      <c r="E166" s="232">
        <v>0.066</v>
      </c>
      <c r="F166" s="30"/>
      <c r="G166" s="26">
        <f t="shared" si="12"/>
        <v>0</v>
      </c>
      <c r="H166" s="28">
        <f t="shared" si="13"/>
        <v>0.66</v>
      </c>
      <c r="I166" s="26">
        <f t="shared" si="14"/>
        <v>0</v>
      </c>
      <c r="J166" s="27">
        <f t="shared" si="15"/>
        <v>0</v>
      </c>
      <c r="K166" s="84"/>
      <c r="L166" s="128">
        <v>1</v>
      </c>
      <c r="M166" s="56"/>
      <c r="N166" s="56"/>
      <c r="O166" s="56"/>
    </row>
    <row r="167" spans="1:15" ht="19.5" customHeight="1">
      <c r="A167" s="231" t="s">
        <v>262</v>
      </c>
      <c r="B167" s="47">
        <v>1</v>
      </c>
      <c r="C167" s="26">
        <v>0</v>
      </c>
      <c r="D167" s="232">
        <v>0</v>
      </c>
      <c r="E167" s="232">
        <v>0.212</v>
      </c>
      <c r="F167" s="30"/>
      <c r="G167" s="26">
        <f t="shared" si="12"/>
        <v>0</v>
      </c>
      <c r="H167" s="28">
        <f t="shared" si="13"/>
        <v>0.212</v>
      </c>
      <c r="I167" s="26">
        <f t="shared" si="14"/>
        <v>0</v>
      </c>
      <c r="J167" s="27">
        <f t="shared" si="15"/>
        <v>0</v>
      </c>
      <c r="K167" s="84"/>
      <c r="L167" s="128">
        <v>1</v>
      </c>
      <c r="M167" s="56"/>
      <c r="N167" s="56"/>
      <c r="O167" s="56"/>
    </row>
    <row r="168" spans="1:15" ht="19.5" customHeight="1">
      <c r="A168" s="231" t="s">
        <v>261</v>
      </c>
      <c r="B168" s="47">
        <v>6</v>
      </c>
      <c r="C168" s="26">
        <v>0</v>
      </c>
      <c r="D168" s="232">
        <v>0</v>
      </c>
      <c r="E168" s="232">
        <v>0.176</v>
      </c>
      <c r="F168" s="30"/>
      <c r="G168" s="26">
        <f t="shared" si="12"/>
        <v>0</v>
      </c>
      <c r="H168" s="28">
        <f t="shared" si="13"/>
        <v>0</v>
      </c>
      <c r="I168" s="26">
        <f t="shared" si="14"/>
        <v>0</v>
      </c>
      <c r="J168" s="27">
        <f t="shared" si="15"/>
        <v>1.056</v>
      </c>
      <c r="K168" s="84"/>
      <c r="L168" s="128">
        <v>2</v>
      </c>
      <c r="M168" s="56"/>
      <c r="N168" s="56"/>
      <c r="O168" s="56"/>
    </row>
    <row r="169" spans="1:15" ht="19.5" customHeight="1">
      <c r="A169" s="231" t="s">
        <v>263</v>
      </c>
      <c r="B169" s="47">
        <v>10</v>
      </c>
      <c r="C169" s="26">
        <v>0</v>
      </c>
      <c r="D169" s="232">
        <v>0</v>
      </c>
      <c r="E169" s="232">
        <v>0.066</v>
      </c>
      <c r="F169" s="30"/>
      <c r="G169" s="26">
        <f t="shared" si="12"/>
        <v>0</v>
      </c>
      <c r="H169" s="28">
        <f t="shared" si="13"/>
        <v>0</v>
      </c>
      <c r="I169" s="26">
        <f t="shared" si="14"/>
        <v>0</v>
      </c>
      <c r="J169" s="27">
        <f t="shared" si="15"/>
        <v>0.66</v>
      </c>
      <c r="K169" s="84"/>
      <c r="L169" s="128">
        <v>2</v>
      </c>
      <c r="M169" s="56"/>
      <c r="N169" s="56"/>
      <c r="O169" s="56"/>
    </row>
    <row r="170" spans="1:15" ht="19.5" customHeight="1">
      <c r="A170" s="231" t="s">
        <v>264</v>
      </c>
      <c r="B170" s="47">
        <v>2</v>
      </c>
      <c r="C170" s="26">
        <v>0</v>
      </c>
      <c r="D170" s="232">
        <v>0</v>
      </c>
      <c r="E170" s="232">
        <v>0.107</v>
      </c>
      <c r="F170" s="30"/>
      <c r="G170" s="26">
        <f t="shared" si="12"/>
        <v>0</v>
      </c>
      <c r="H170" s="28">
        <f t="shared" si="13"/>
        <v>0</v>
      </c>
      <c r="I170" s="26">
        <f t="shared" si="14"/>
        <v>0</v>
      </c>
      <c r="J170" s="27">
        <f t="shared" si="15"/>
        <v>0.214</v>
      </c>
      <c r="K170" s="84"/>
      <c r="L170" s="128">
        <v>2</v>
      </c>
      <c r="M170" s="56"/>
      <c r="N170" s="56"/>
      <c r="O170" s="56"/>
    </row>
    <row r="171" spans="1:15" ht="19.5" customHeight="1">
      <c r="A171" s="231" t="s">
        <v>264</v>
      </c>
      <c r="B171" s="47">
        <v>2</v>
      </c>
      <c r="C171" s="26">
        <v>0</v>
      </c>
      <c r="D171" s="232">
        <v>0</v>
      </c>
      <c r="E171" s="232">
        <v>0.107</v>
      </c>
      <c r="F171" s="30"/>
      <c r="G171" s="26">
        <f t="shared" si="12"/>
        <v>0</v>
      </c>
      <c r="H171" s="28">
        <f t="shared" si="13"/>
        <v>0.214</v>
      </c>
      <c r="I171" s="26">
        <f t="shared" si="14"/>
        <v>0</v>
      </c>
      <c r="J171" s="27">
        <f t="shared" si="15"/>
        <v>0</v>
      </c>
      <c r="K171" s="84"/>
      <c r="L171" s="128">
        <v>1</v>
      </c>
      <c r="M171" s="56"/>
      <c r="N171" s="56"/>
      <c r="O171" s="56"/>
    </row>
    <row r="172" spans="1:15" ht="19.5" customHeight="1">
      <c r="A172" s="231" t="s">
        <v>217</v>
      </c>
      <c r="B172" s="47">
        <v>0</v>
      </c>
      <c r="C172" s="26">
        <v>0</v>
      </c>
      <c r="D172" s="232">
        <v>0</v>
      </c>
      <c r="E172" s="232">
        <v>0</v>
      </c>
      <c r="F172" s="30"/>
      <c r="G172" s="26">
        <f t="shared" si="12"/>
        <v>0</v>
      </c>
      <c r="H172" s="28">
        <f t="shared" si="13"/>
        <v>0</v>
      </c>
      <c r="I172" s="26">
        <f t="shared" si="14"/>
        <v>0</v>
      </c>
      <c r="J172" s="27">
        <f t="shared" si="15"/>
        <v>0</v>
      </c>
      <c r="K172" s="84"/>
      <c r="L172" s="128">
        <v>1</v>
      </c>
      <c r="M172" s="56"/>
      <c r="N172" s="56"/>
      <c r="O172" s="56"/>
    </row>
    <row r="173" spans="1:15" ht="19.5" customHeight="1">
      <c r="A173" s="231" t="s">
        <v>217</v>
      </c>
      <c r="B173" s="47">
        <v>0</v>
      </c>
      <c r="C173" s="26">
        <v>0</v>
      </c>
      <c r="D173" s="232">
        <v>0</v>
      </c>
      <c r="E173" s="232">
        <v>0</v>
      </c>
      <c r="F173" s="30"/>
      <c r="G173" s="26">
        <f t="shared" si="12"/>
        <v>0</v>
      </c>
      <c r="H173" s="28">
        <f t="shared" si="13"/>
        <v>0</v>
      </c>
      <c r="I173" s="26">
        <f t="shared" si="14"/>
        <v>0</v>
      </c>
      <c r="J173" s="27">
        <f t="shared" si="15"/>
        <v>0</v>
      </c>
      <c r="K173" s="84"/>
      <c r="L173" s="128">
        <v>1</v>
      </c>
      <c r="M173" s="56"/>
      <c r="N173" s="56"/>
      <c r="O173" s="56"/>
    </row>
    <row r="174" spans="1:15" ht="19.5" customHeight="1">
      <c r="A174" s="231" t="s">
        <v>217</v>
      </c>
      <c r="B174" s="47">
        <v>0</v>
      </c>
      <c r="C174" s="26">
        <v>0</v>
      </c>
      <c r="D174" s="232">
        <v>0</v>
      </c>
      <c r="E174" s="232">
        <v>0</v>
      </c>
      <c r="F174" s="30"/>
      <c r="G174" s="26">
        <f t="shared" si="12"/>
        <v>0</v>
      </c>
      <c r="H174" s="28">
        <f t="shared" si="13"/>
        <v>0</v>
      </c>
      <c r="I174" s="26">
        <f t="shared" si="14"/>
        <v>0</v>
      </c>
      <c r="J174" s="27">
        <f t="shared" si="15"/>
        <v>0</v>
      </c>
      <c r="K174" s="84"/>
      <c r="L174" s="128">
        <v>1</v>
      </c>
      <c r="M174" s="56"/>
      <c r="N174" s="56"/>
      <c r="O174" s="56"/>
    </row>
    <row r="175" spans="1:15" ht="19.5" customHeight="1">
      <c r="A175" s="231" t="s">
        <v>217</v>
      </c>
      <c r="B175" s="47">
        <v>0</v>
      </c>
      <c r="C175" s="26">
        <v>0</v>
      </c>
      <c r="D175" s="232">
        <v>0</v>
      </c>
      <c r="E175" s="232">
        <v>0</v>
      </c>
      <c r="F175" s="30"/>
      <c r="G175" s="26">
        <f t="shared" si="12"/>
        <v>0</v>
      </c>
      <c r="H175" s="28">
        <f t="shared" si="13"/>
        <v>0</v>
      </c>
      <c r="I175" s="26">
        <f t="shared" si="14"/>
        <v>0</v>
      </c>
      <c r="J175" s="27">
        <f t="shared" si="15"/>
        <v>0</v>
      </c>
      <c r="K175" s="84"/>
      <c r="L175" s="128">
        <v>1</v>
      </c>
      <c r="M175" s="56"/>
      <c r="N175" s="56"/>
      <c r="O175" s="56"/>
    </row>
    <row r="176" spans="1:15" ht="19.5" customHeight="1">
      <c r="A176" s="231" t="s">
        <v>217</v>
      </c>
      <c r="B176" s="47">
        <v>0</v>
      </c>
      <c r="C176" s="26">
        <v>0</v>
      </c>
      <c r="D176" s="232">
        <v>0</v>
      </c>
      <c r="E176" s="232">
        <v>0</v>
      </c>
      <c r="F176" s="30"/>
      <c r="G176" s="26">
        <f t="shared" si="12"/>
        <v>0</v>
      </c>
      <c r="H176" s="28">
        <f t="shared" si="13"/>
        <v>0</v>
      </c>
      <c r="I176" s="26">
        <f t="shared" si="14"/>
        <v>0</v>
      </c>
      <c r="J176" s="27">
        <f t="shared" si="15"/>
        <v>0</v>
      </c>
      <c r="K176" s="84"/>
      <c r="L176" s="128">
        <v>1</v>
      </c>
      <c r="M176" s="56"/>
      <c r="N176" s="56"/>
      <c r="O176" s="56"/>
    </row>
    <row r="177" spans="1:15" ht="19.5" customHeight="1">
      <c r="A177" s="231" t="s">
        <v>217</v>
      </c>
      <c r="B177" s="47">
        <v>0</v>
      </c>
      <c r="C177" s="26">
        <v>0</v>
      </c>
      <c r="D177" s="232">
        <v>0</v>
      </c>
      <c r="E177" s="232">
        <v>0</v>
      </c>
      <c r="F177" s="30"/>
      <c r="G177" s="26">
        <f t="shared" si="12"/>
        <v>0</v>
      </c>
      <c r="H177" s="28">
        <f t="shared" si="13"/>
        <v>0</v>
      </c>
      <c r="I177" s="26">
        <f t="shared" si="14"/>
        <v>0</v>
      </c>
      <c r="J177" s="27">
        <f t="shared" si="15"/>
        <v>0</v>
      </c>
      <c r="K177" s="84"/>
      <c r="L177" s="128">
        <v>1</v>
      </c>
      <c r="M177" s="56"/>
      <c r="N177" s="56"/>
      <c r="O177" s="56"/>
    </row>
    <row r="178" spans="1:15" ht="19.5" customHeight="1">
      <c r="A178" s="231" t="s">
        <v>217</v>
      </c>
      <c r="B178" s="47">
        <v>0</v>
      </c>
      <c r="C178" s="26">
        <v>0</v>
      </c>
      <c r="D178" s="232">
        <v>0</v>
      </c>
      <c r="E178" s="232">
        <v>0</v>
      </c>
      <c r="F178" s="30"/>
      <c r="G178" s="26">
        <f t="shared" si="12"/>
        <v>0</v>
      </c>
      <c r="H178" s="28">
        <f t="shared" si="13"/>
        <v>0</v>
      </c>
      <c r="I178" s="26">
        <f t="shared" si="14"/>
        <v>0</v>
      </c>
      <c r="J178" s="27">
        <f t="shared" si="15"/>
        <v>0</v>
      </c>
      <c r="K178" s="84"/>
      <c r="L178" s="128">
        <v>1</v>
      </c>
      <c r="M178" s="56"/>
      <c r="N178" s="56"/>
      <c r="O178" s="56"/>
    </row>
    <row r="179" spans="1:15" ht="19.5" customHeight="1">
      <c r="A179" s="231" t="s">
        <v>217</v>
      </c>
      <c r="B179" s="47">
        <v>0</v>
      </c>
      <c r="C179" s="26">
        <v>0</v>
      </c>
      <c r="D179" s="232">
        <v>0</v>
      </c>
      <c r="E179" s="232">
        <v>0</v>
      </c>
      <c r="F179" s="30"/>
      <c r="G179" s="26">
        <f t="shared" si="12"/>
        <v>0</v>
      </c>
      <c r="H179" s="28">
        <f t="shared" si="13"/>
        <v>0</v>
      </c>
      <c r="I179" s="26">
        <f t="shared" si="14"/>
        <v>0</v>
      </c>
      <c r="J179" s="27">
        <f t="shared" si="15"/>
        <v>0</v>
      </c>
      <c r="K179" s="84"/>
      <c r="L179" s="128">
        <v>1</v>
      </c>
      <c r="M179" s="56"/>
      <c r="N179" s="56"/>
      <c r="O179" s="56"/>
    </row>
    <row r="180" spans="1:15" ht="19.5" customHeight="1">
      <c r="A180" s="231" t="s">
        <v>217</v>
      </c>
      <c r="B180" s="47">
        <v>0</v>
      </c>
      <c r="C180" s="26">
        <v>0</v>
      </c>
      <c r="D180" s="232">
        <v>0</v>
      </c>
      <c r="E180" s="232">
        <v>0</v>
      </c>
      <c r="F180" s="30"/>
      <c r="G180" s="26">
        <f t="shared" si="12"/>
        <v>0</v>
      </c>
      <c r="H180" s="28">
        <f t="shared" si="13"/>
        <v>0</v>
      </c>
      <c r="I180" s="26">
        <f t="shared" si="14"/>
        <v>0</v>
      </c>
      <c r="J180" s="27">
        <f t="shared" si="15"/>
        <v>0</v>
      </c>
      <c r="K180" s="84"/>
      <c r="L180" s="128">
        <v>1</v>
      </c>
      <c r="M180" s="56"/>
      <c r="N180" s="56"/>
      <c r="O180" s="56"/>
    </row>
    <row r="181" spans="1:15" ht="12.75">
      <c r="A181" s="5"/>
      <c r="B181" s="5"/>
      <c r="C181" s="5"/>
      <c r="D181" s="5"/>
      <c r="E181" s="5"/>
      <c r="F181" s="5"/>
      <c r="G181" s="5"/>
      <c r="H181" s="5"/>
      <c r="I181" s="5"/>
      <c r="J181" s="5"/>
      <c r="K181" s="5"/>
      <c r="L181" s="74"/>
      <c r="M181" s="74"/>
      <c r="N181" s="74"/>
      <c r="O181" s="74"/>
    </row>
    <row r="182" spans="1:15" ht="13.5" thickBot="1">
      <c r="A182" s="5"/>
      <c r="B182" s="5"/>
      <c r="C182" s="5"/>
      <c r="D182" s="5"/>
      <c r="E182" s="5"/>
      <c r="F182" s="5"/>
      <c r="G182" s="5"/>
      <c r="H182" s="5"/>
      <c r="I182" s="5"/>
      <c r="J182" s="5"/>
      <c r="K182" s="5"/>
      <c r="L182" s="74"/>
      <c r="M182" s="74"/>
      <c r="N182" s="74"/>
      <c r="O182" s="74"/>
    </row>
    <row r="183" spans="1:16" ht="39" customHeight="1" thickBot="1" thickTop="1">
      <c r="A183" s="21" t="s">
        <v>188</v>
      </c>
      <c r="B183" s="23" t="s">
        <v>189</v>
      </c>
      <c r="C183" s="254" t="s">
        <v>195</v>
      </c>
      <c r="D183" s="262"/>
      <c r="E183" s="198" t="str">
        <f>IF((L184=1),("Ohms per 1000 ft"),("Ohms per 1000 m"))</f>
        <v>Ohms per 1000 ft</v>
      </c>
      <c r="F183" s="197" t="s">
        <v>231</v>
      </c>
      <c r="G183" s="23" t="s">
        <v>197</v>
      </c>
      <c r="H183" s="23" t="s">
        <v>199</v>
      </c>
      <c r="I183" s="23" t="s">
        <v>198</v>
      </c>
      <c r="J183" s="23" t="s">
        <v>196</v>
      </c>
      <c r="K183" s="83"/>
      <c r="L183" s="233" t="s">
        <v>190</v>
      </c>
      <c r="M183" s="77"/>
      <c r="N183" s="77"/>
      <c r="O183" s="77"/>
      <c r="P183" s="24"/>
    </row>
    <row r="184" spans="1:15" ht="17.25" customHeight="1" thickTop="1">
      <c r="A184" s="25" t="s">
        <v>234</v>
      </c>
      <c r="B184" s="26"/>
      <c r="C184" s="263"/>
      <c r="D184" s="264"/>
      <c r="E184" s="195">
        <f>IF((L184=1),(VLOOKUP(Data!$E$37,Wire_Run_Data,3)),(VLOOKUP(Data!$E$37,Wire_Run_Data,4)))</f>
        <v>5.08</v>
      </c>
      <c r="F184" s="237">
        <f>E160</f>
        <v>2.1420000000000003</v>
      </c>
      <c r="G184" s="232">
        <v>150</v>
      </c>
      <c r="H184" s="194">
        <f>(((G184*2)/1000)*E184)</f>
        <v>1.524</v>
      </c>
      <c r="I184" s="193">
        <f>24-((F184/1000)*H184)</f>
        <v>23.996735592</v>
      </c>
      <c r="J184" s="193">
        <f>100-((I184/24)*100)</f>
        <v>0.013601699999995276</v>
      </c>
      <c r="K184" s="84"/>
      <c r="L184" s="128">
        <f>Data!$I$35</f>
        <v>1</v>
      </c>
      <c r="M184" s="56"/>
      <c r="N184" s="56"/>
      <c r="O184" s="56"/>
    </row>
    <row r="185" spans="1:15" ht="17.25" customHeight="1">
      <c r="A185" s="25" t="s">
        <v>235</v>
      </c>
      <c r="B185" s="28"/>
      <c r="C185" s="265"/>
      <c r="D185" s="266"/>
      <c r="E185" s="196">
        <f>IF((L184=1),(VLOOKUP(Data!$E$38,Wire_Run_Data,3)),(VLOOKUP(Data!$E$38,Wire_Run_Data,4)))</f>
        <v>5.08</v>
      </c>
      <c r="F185" s="238">
        <f>G160</f>
        <v>1.9300000000000002</v>
      </c>
      <c r="G185" s="46">
        <v>150</v>
      </c>
      <c r="H185" s="194">
        <f>(((G185*2)/1000)*E185)</f>
        <v>1.524</v>
      </c>
      <c r="I185" s="193">
        <f>24-((F185/1000)*H185)</f>
        <v>23.99705868</v>
      </c>
      <c r="J185" s="193">
        <f>100-((I185/24)*100)</f>
        <v>0.012255500000009079</v>
      </c>
      <c r="K185" s="84"/>
      <c r="L185" s="128">
        <f>Data!$I$35</f>
        <v>1</v>
      </c>
      <c r="M185" s="56"/>
      <c r="N185" s="56"/>
      <c r="O185" s="56"/>
    </row>
    <row r="186" spans="1:15" ht="12.75">
      <c r="A186" s="5"/>
      <c r="B186" s="5"/>
      <c r="C186" s="5"/>
      <c r="D186" s="5"/>
      <c r="E186" s="5"/>
      <c r="F186" s="5"/>
      <c r="G186" s="5"/>
      <c r="H186" s="5"/>
      <c r="I186" s="5"/>
      <c r="J186" s="5"/>
      <c r="K186" s="5"/>
      <c r="L186" s="74"/>
      <c r="M186" s="74"/>
      <c r="N186" s="74"/>
      <c r="O186" s="74"/>
    </row>
  </sheetData>
  <sheetProtection password="E9EC" sheet="1" objects="1" scenarios="1"/>
  <mergeCells count="45">
    <mergeCell ref="L153:L154"/>
    <mergeCell ref="H155:K155"/>
    <mergeCell ref="H151:I151"/>
    <mergeCell ref="H149:J149"/>
    <mergeCell ref="H150:I150"/>
    <mergeCell ref="J153:J154"/>
    <mergeCell ref="F153:I154"/>
    <mergeCell ref="C183:D183"/>
    <mergeCell ref="C184:D184"/>
    <mergeCell ref="C185:D185"/>
    <mergeCell ref="H124:J124"/>
    <mergeCell ref="B124:G124"/>
    <mergeCell ref="B132:E132"/>
    <mergeCell ref="H132:J132"/>
    <mergeCell ref="B140:E140"/>
    <mergeCell ref="H140:J140"/>
    <mergeCell ref="B156:K156"/>
    <mergeCell ref="H8:K8"/>
    <mergeCell ref="H34:J34"/>
    <mergeCell ref="H64:J64"/>
    <mergeCell ref="H94:J94"/>
    <mergeCell ref="B9:K9"/>
    <mergeCell ref="G17:H17"/>
    <mergeCell ref="B34:G34"/>
    <mergeCell ref="B64:G64"/>
    <mergeCell ref="H2:J2"/>
    <mergeCell ref="B2:F2"/>
    <mergeCell ref="H3:I3"/>
    <mergeCell ref="H4:I4"/>
    <mergeCell ref="C3:F3"/>
    <mergeCell ref="C4:F4"/>
    <mergeCell ref="C5:F5"/>
    <mergeCell ref="C6:F6"/>
    <mergeCell ref="C7:F7"/>
    <mergeCell ref="L6:L7"/>
    <mergeCell ref="J6:J7"/>
    <mergeCell ref="A95:D95"/>
    <mergeCell ref="A19:D19"/>
    <mergeCell ref="B94:G94"/>
    <mergeCell ref="H152:I152"/>
    <mergeCell ref="C141:D141"/>
    <mergeCell ref="C142:D142"/>
    <mergeCell ref="C143:D143"/>
    <mergeCell ref="C144:D144"/>
    <mergeCell ref="D37:I39"/>
  </mergeCells>
  <conditionalFormatting sqref="A21:A23">
    <cfRule type="expression" priority="1" dxfId="0" stopIfTrue="1">
      <formula>($L$11=0)</formula>
    </cfRule>
  </conditionalFormatting>
  <conditionalFormatting sqref="A25:A28 D25:E28 D21:E23">
    <cfRule type="expression" priority="2" dxfId="1" stopIfTrue="1">
      <formula>($L$11=0)</formula>
    </cfRule>
  </conditionalFormatting>
  <conditionalFormatting sqref="B97:B123">
    <cfRule type="expression" priority="3" dxfId="2" stopIfTrue="1">
      <formula>($B$15&lt;0)</formula>
    </cfRule>
  </conditionalFormatting>
  <conditionalFormatting sqref="B50:B63">
    <cfRule type="expression" priority="4" dxfId="3" stopIfTrue="1">
      <formula>($B$15&lt;0)</formula>
    </cfRule>
    <cfRule type="expression" priority="5" dxfId="3" stopIfTrue="1">
      <formula>($C$15&lt;0)</formula>
    </cfRule>
  </conditionalFormatting>
  <conditionalFormatting sqref="F97:F121">
    <cfRule type="expression" priority="6" dxfId="1" stopIfTrue="1">
      <formula>($M$11=0)</formula>
    </cfRule>
  </conditionalFormatting>
  <conditionalFormatting sqref="A95:D95">
    <cfRule type="expression" priority="7" dxfId="4" stopIfTrue="1">
      <formula>($M$11=0)</formula>
    </cfRule>
  </conditionalFormatting>
  <conditionalFormatting sqref="A19:D19">
    <cfRule type="expression" priority="8" dxfId="4" stopIfTrue="1">
      <formula>($L$11=0)</formula>
    </cfRule>
    <cfRule type="expression" priority="9" dxfId="4" stopIfTrue="1">
      <formula>($N$11=0)</formula>
    </cfRule>
  </conditionalFormatting>
  <conditionalFormatting sqref="B21:B33 B165:B180 B67:B93 B37:B44">
    <cfRule type="expression" priority="10" dxfId="3" stopIfTrue="1">
      <formula>($C$15&lt;0)</formula>
    </cfRule>
    <cfRule type="expression" priority="11" dxfId="5" stopIfTrue="1">
      <formula>($D$15&lt;0)</formula>
    </cfRule>
  </conditionalFormatting>
  <conditionalFormatting sqref="A97:A98 A100 A104 A109:A111 A119:A121">
    <cfRule type="expression" priority="12" dxfId="1" stopIfTrue="1">
      <formula>($M$11=0)</formula>
    </cfRule>
    <cfRule type="expression" priority="13" dxfId="6" stopIfTrue="1">
      <formula>($O$11=0)</formula>
    </cfRule>
  </conditionalFormatting>
  <conditionalFormatting sqref="A99 A101:A103 A105:A108 A50:A58 A112:A118 A60:A61">
    <cfRule type="expression" priority="14" dxfId="6" stopIfTrue="1">
      <formula>($O$11=0)</formula>
    </cfRule>
  </conditionalFormatting>
  <conditionalFormatting sqref="A32 D32:E32">
    <cfRule type="expression" priority="15" dxfId="1" stopIfTrue="1">
      <formula>($N$11=0)</formula>
    </cfRule>
  </conditionalFormatting>
  <conditionalFormatting sqref="H124:J124 H64:J64">
    <cfRule type="expression" priority="16" dxfId="7" stopIfTrue="1">
      <formula>(I$15&lt;0)</formula>
    </cfRule>
    <cfRule type="expression" priority="17" dxfId="7" stopIfTrue="1">
      <formula>($J$15&lt;0)</formula>
    </cfRule>
  </conditionalFormatting>
  <conditionalFormatting sqref="B34:G34 B45:G47 I45:J47">
    <cfRule type="expression" priority="18" dxfId="8" stopIfTrue="1">
      <formula>($D$15&lt;0)</formula>
    </cfRule>
    <cfRule type="expression" priority="19" dxfId="8" stopIfTrue="1">
      <formula>($E$15&lt;0)</formula>
    </cfRule>
  </conditionalFormatting>
  <conditionalFormatting sqref="B64:G64">
    <cfRule type="expression" priority="20" dxfId="8" stopIfTrue="1">
      <formula>($B$15&lt;0)</formula>
    </cfRule>
    <cfRule type="expression" priority="21" dxfId="8" stopIfTrue="1">
      <formula>($C$15&lt;0)</formula>
    </cfRule>
  </conditionalFormatting>
  <conditionalFormatting sqref="B94:G94">
    <cfRule type="expression" priority="22" dxfId="8" stopIfTrue="1">
      <formula>($C$15&lt;0)</formula>
    </cfRule>
    <cfRule type="expression" priority="23" dxfId="8" stopIfTrue="1">
      <formula>($D$15&lt;0)</formula>
    </cfRule>
  </conditionalFormatting>
  <conditionalFormatting sqref="B124:G124">
    <cfRule type="expression" priority="24" dxfId="8" stopIfTrue="1">
      <formula>($B$15&lt;0)</formula>
    </cfRule>
  </conditionalFormatting>
  <conditionalFormatting sqref="B16:B18">
    <cfRule type="expression" priority="25" dxfId="7" stopIfTrue="1">
      <formula>(B15&lt;0)</formula>
    </cfRule>
  </conditionalFormatting>
  <conditionalFormatting sqref="I16:I18 C16:D18 G18:H18 K18 J16 I163:K163 B163:D163">
    <cfRule type="expression" priority="26" dxfId="8" stopIfTrue="1">
      <formula>(B15&lt;0)</formula>
    </cfRule>
  </conditionalFormatting>
  <conditionalFormatting sqref="H155:K155">
    <cfRule type="expression" priority="27" dxfId="9" stopIfTrue="1">
      <formula>(J153&gt;K158)</formula>
    </cfRule>
  </conditionalFormatting>
  <conditionalFormatting sqref="G16:H16 G163:H163">
    <cfRule type="expression" priority="28" dxfId="10" stopIfTrue="1">
      <formula>(G15&lt;0)</formula>
    </cfRule>
  </conditionalFormatting>
  <conditionalFormatting sqref="H132:J132 H94:J94 H145:H147 H140:J140 H34:J34 H45:H47">
    <cfRule type="expression" priority="29" dxfId="8" stopIfTrue="1">
      <formula>(I$15&lt;0)</formula>
    </cfRule>
    <cfRule type="expression" priority="30" dxfId="8" stopIfTrue="1">
      <formula>($J$15&lt;0)</formula>
    </cfRule>
  </conditionalFormatting>
  <conditionalFormatting sqref="B132:E132">
    <cfRule type="expression" priority="31" dxfId="10" stopIfTrue="1">
      <formula>($G$15&lt;0)</formula>
    </cfRule>
  </conditionalFormatting>
  <conditionalFormatting sqref="B145:D147 B140:E140">
    <cfRule type="expression" priority="32" dxfId="10" stopIfTrue="1">
      <formula>($H$15&lt;0)</formula>
    </cfRule>
  </conditionalFormatting>
  <conditionalFormatting sqref="B127:B131">
    <cfRule type="expression" priority="33" dxfId="3" stopIfTrue="1">
      <formula>($G$15&lt;0)</formula>
    </cfRule>
  </conditionalFormatting>
  <conditionalFormatting sqref="B135:B139">
    <cfRule type="expression" priority="34" dxfId="3" stopIfTrue="1">
      <formula>($H$15&lt;0)</formula>
    </cfRule>
    <cfRule type="expression" priority="35" dxfId="6" stopIfTrue="1">
      <formula>"($H$11=""NA"")"</formula>
    </cfRule>
  </conditionalFormatting>
  <conditionalFormatting sqref="A134">
    <cfRule type="expression" priority="36" dxfId="6" stopIfTrue="1">
      <formula>($H$11="NA")</formula>
    </cfRule>
  </conditionalFormatting>
  <conditionalFormatting sqref="A135:A139">
    <cfRule type="expression" priority="37" dxfId="11" stopIfTrue="1">
      <formula>($H$11="NA")</formula>
    </cfRule>
  </conditionalFormatting>
  <conditionalFormatting sqref="J184 J142:J144">
    <cfRule type="cellIs" priority="38" dxfId="12" operator="greaterThan" stopIfTrue="1">
      <formula>10</formula>
    </cfRule>
  </conditionalFormatting>
  <conditionalFormatting sqref="H8:K8">
    <cfRule type="expression" priority="39" dxfId="13" stopIfTrue="1">
      <formula>"L153=""TRUE"""</formula>
    </cfRule>
    <cfRule type="expression" priority="40" dxfId="14" stopIfTrue="1">
      <formula>(J6&gt;K11)</formula>
    </cfRule>
  </conditionalFormatting>
  <conditionalFormatting sqref="J153:J154">
    <cfRule type="cellIs" priority="41" dxfId="9" operator="greaterThan" stopIfTrue="1">
      <formula>17.2</formula>
    </cfRule>
  </conditionalFormatting>
  <dataValidations count="19">
    <dataValidation type="whole" allowBlank="1" showErrorMessage="1" errorTitle="Device Quantity Error" error="Enter Device Quantity as a whole number." sqref="B21:B33">
      <formula1>0</formula1>
      <formula2>1000</formula2>
    </dataValidation>
    <dataValidation type="whole" allowBlank="1" showInputMessage="1" showErrorMessage="1" errorTitle="Device Quantity Error" error="Enter Device Quantity as a whole number." sqref="B97:C123 B165:B180 B135:B139 B62:B63 B59:B60 B127:B131 B69:B93 B37:B44">
      <formula1>0</formula1>
      <formula2>1000</formula2>
    </dataValidation>
    <dataValidation type="whole" allowBlank="1" showInputMessage="1" showErrorMessage="1" promptTitle="4297 Information" prompt="Check the panel documentation for the maximum number of 4297 devices allowed, and for the maximum polling loop length." errorTitle="4297 Device Quantity Error" error="Enter 4297 Device Quantity as a whole number." sqref="B61">
      <formula1>0</formula1>
      <formula2>120</formula2>
    </dataValidation>
    <dataValidation type="decimal" allowBlank="1" showErrorMessage="1" errorTitle="Device Current Entry Error" error="Enter Device Current as a whole number." sqref="E135:E139 D33:E33 D62:F63 D83:E86 D92:E93 E127:E131 D41:E44">
      <formula1>0</formula1>
      <formula2>100000</formula2>
    </dataValidation>
    <dataValidation type="decimal" allowBlank="1" showInputMessage="1" showErrorMessage="1" promptTitle="Standby Duration" prompt="Enter System Standby Duration in HOURS." errorTitle="Standby Duration Entry Error" error="Enter System Standby Duration in HOURS." sqref="J3">
      <formula1>0</formula1>
      <formula2>1000</formula2>
    </dataValidation>
    <dataValidation type="decimal" allowBlank="1" showInputMessage="1" showErrorMessage="1" promptTitle="Alarm Duration" prompt="Enter Alarm Duration in MINUTES." errorTitle="Alarm Duration Entry Error" error="Enter Alarm Duration in MINUTES." sqref="J4">
      <formula1>0</formula1>
      <formula2>1000</formula2>
    </dataValidation>
    <dataValidation type="whole" allowBlank="1" showInputMessage="1" showErrorMessage="1" errorTitle="Device Quantity Error" error="Enter quantity of Externally Powered Devices as a whole number.  &#10;&#10;DO NOT exceed the total quantity of devices shown for this item in Column B." sqref="C21:C33 C127:C131 C62:C63 C50:C60 C135:C139 C67:C93 C37:C44">
      <formula1>0</formula1>
      <formula2>B21</formula2>
    </dataValidation>
    <dataValidation type="whole" allowBlank="1" showInputMessage="1" showErrorMessage="1" errorTitle="Device Quantity Error" error="Enter quantity of Externally Powered Devices as a whole number.  &#10;&#10;DO NOT exceed the total quantity of devices shown for this item in Column B." sqref="C61">
      <formula1>0</formula1>
      <formula2>(B61)</formula2>
    </dataValidation>
    <dataValidation type="whole" allowBlank="1" showInputMessage="1" showErrorMessage="1" promptTitle="Powering 4208U Devices" prompt="This device may be powered from the polling loop, from the panel's aux power output, or from an external power supply.  Therefore the device appears on three rows.  Enter the appropriate device quantities for each powering method.  " errorTitle="Device Quantity Error" error="Enter Device Quantity as a whole number." sqref="B50:B52">
      <formula1>0</formula1>
      <formula2>1000</formula2>
    </dataValidation>
    <dataValidation type="whole" allowBlank="1" showInputMessage="1" showErrorMessage="1" promptTitle="Powering 4208SN Devices" prompt="This device may be powered from the polling loop, from the panel's aux power output, or from an external power supply.  Therefore the device appears on three rows.  Enter the appropriate device quantities for each powering method.  " errorTitle="Device Quantity Error" error="Enter Device Quantity as a whole number." sqref="B53:B55">
      <formula1>0</formula1>
      <formula2>1000</formula2>
    </dataValidation>
    <dataValidation type="whole" allowBlank="1" showInputMessage="1" showErrorMessage="1" promptTitle="Powering 4208SNF Devices" prompt="This device may be powered from the polling loop, from the panel's aux power output, or from an external power supply.  Therefore the device appears on three rows.  Enter the appropriate device quantities for each powering method.  " errorTitle="Device Quantity Error" error="Enter Device Quantity as a whole number." sqref="B56:B58">
      <formula1>0</formula1>
      <formula2>1000</formula2>
    </dataValidation>
    <dataValidation type="decimal" allowBlank="1" showInputMessage="1" showErrorMessage="1" errorTitle="Device Quantity Error" error="Enter Device Quantity as a whole number." sqref="F122:F123">
      <formula1>0</formula1>
      <formula2>1000</formula2>
    </dataValidation>
    <dataValidation type="whole" allowBlank="1" showErrorMessage="1" errorTitle="Device Quantity Error" error="Enter Device Quantity as a whole number.  No more than one (1) 4100SM may be installed." sqref="B68">
      <formula1>0</formula1>
      <formula2>1</formula2>
    </dataValidation>
    <dataValidation type="whole" allowBlank="1" showErrorMessage="1" errorTitle="Device Quantity Error" error="Enter Device Quantity as a whole number.  No more than one (1) PS24 may be installed." sqref="B67">
      <formula1>0</formula1>
      <formula2>1</formula2>
    </dataValidation>
    <dataValidation type="decimal" allowBlank="1" showInputMessage="1" showErrorMessage="1" promptTitle="Standby Duration" prompt="This duration (hours) is taken from the top of this sheet.&#10;" errorTitle="Standby Duration Entry Error" error="Enter System Standby Duration in HOURS." sqref="J150">
      <formula1>0</formula1>
      <formula2>1000</formula2>
    </dataValidation>
    <dataValidation type="decimal" allowBlank="1" showInputMessage="1" showErrorMessage="1" promptTitle="Alarm Duration" prompt="This duration (minutes) is taken from the top of this sheet." errorTitle="Alarm Duration Entry Error" error="Enter Alarm Duration in MINUTES." sqref="J151">
      <formula1>0</formula1>
      <formula2>1000</formula2>
    </dataValidation>
    <dataValidation allowBlank="1" showErrorMessage="1" prompt="Actual Required Capacity" sqref="J152"/>
    <dataValidation allowBlank="1" showInputMessage="1" showErrorMessage="1" promptTitle="Alarm Current" prompt="This value is taken from the 24V current calculations (above)" sqref="F184:F185"/>
    <dataValidation allowBlank="1" showInputMessage="1" showErrorMessage="1" promptTitle="Alarm Current" prompt="This value is taken from the 12V current calculations (above)" sqref="F142:F144"/>
  </dataValidations>
  <printOptions/>
  <pageMargins left="0.25" right="0.25" top="0.25" bottom="0.25" header="0.25" footer="0.25"/>
  <pageSetup fitToHeight="0" fitToWidth="1" horizontalDpi="600" verticalDpi="600" orientation="portrait" scale="68" r:id="rId3"/>
  <rowBreaks count="2" manualBreakCount="2">
    <brk id="65" max="255" man="1"/>
    <brk id="124" max="255" man="1"/>
  </rowBreaks>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S46"/>
  <sheetViews>
    <sheetView zoomScale="50" zoomScaleNormal="50" workbookViewId="0" topLeftCell="A12">
      <selection activeCell="G22" sqref="G22"/>
    </sheetView>
  </sheetViews>
  <sheetFormatPr defaultColWidth="9.140625" defaultRowHeight="12.75"/>
  <cols>
    <col min="1" max="1" width="12.7109375" style="1" customWidth="1"/>
    <col min="2" max="2" width="27.7109375" style="120" customWidth="1"/>
    <col min="3" max="3" width="10.421875" style="1" customWidth="1"/>
    <col min="4" max="4" width="11.421875" style="1" customWidth="1"/>
    <col min="5" max="5" width="16.421875" style="1" customWidth="1"/>
    <col min="6" max="6" width="11.8515625" style="1" customWidth="1"/>
    <col min="7" max="7" width="10.421875" style="1" customWidth="1"/>
    <col min="8" max="9" width="11.140625" style="1" customWidth="1"/>
    <col min="10" max="11" width="14.57421875" style="1" customWidth="1"/>
    <col min="12" max="12" width="13.28125" style="1" customWidth="1"/>
    <col min="13" max="14" width="10.00390625" style="1" customWidth="1"/>
    <col min="15" max="17" width="11.57421875" style="1" customWidth="1"/>
    <col min="18" max="18" width="7.7109375" style="1" customWidth="1"/>
    <col min="19" max="19" width="16.57421875" style="1" customWidth="1"/>
    <col min="20" max="16384" width="10.00390625" style="1" customWidth="1"/>
  </cols>
  <sheetData>
    <row r="1" spans="1:19" s="123" customFormat="1" ht="84.75" customHeight="1">
      <c r="A1" s="130" t="s">
        <v>34</v>
      </c>
      <c r="B1" s="131" t="s">
        <v>35</v>
      </c>
      <c r="C1" s="132" t="s">
        <v>36</v>
      </c>
      <c r="D1" s="132" t="s">
        <v>40</v>
      </c>
      <c r="E1" s="132" t="s">
        <v>41</v>
      </c>
      <c r="F1" s="132" t="s">
        <v>42</v>
      </c>
      <c r="G1" s="132" t="s">
        <v>43</v>
      </c>
      <c r="H1" s="132" t="s">
        <v>44</v>
      </c>
      <c r="I1" s="132" t="s">
        <v>45</v>
      </c>
      <c r="J1" s="132" t="s">
        <v>125</v>
      </c>
      <c r="K1" s="132" t="s">
        <v>124</v>
      </c>
      <c r="L1" s="132" t="s">
        <v>119</v>
      </c>
      <c r="M1" s="132" t="s">
        <v>113</v>
      </c>
      <c r="N1" s="132" t="s">
        <v>112</v>
      </c>
      <c r="O1" s="133" t="s">
        <v>73</v>
      </c>
      <c r="P1" s="133" t="s">
        <v>132</v>
      </c>
      <c r="Q1" s="134" t="s">
        <v>134</v>
      </c>
      <c r="R1" s="135">
        <v>8</v>
      </c>
      <c r="S1" s="136" t="s">
        <v>133</v>
      </c>
    </row>
    <row r="2" spans="1:17" ht="39.75" customHeight="1">
      <c r="A2" s="2">
        <v>1</v>
      </c>
      <c r="B2" s="122" t="s">
        <v>33</v>
      </c>
      <c r="C2" s="121">
        <v>0</v>
      </c>
      <c r="D2" s="121">
        <v>0</v>
      </c>
      <c r="E2" s="121">
        <v>0</v>
      </c>
      <c r="F2" s="121">
        <v>0</v>
      </c>
      <c r="G2" s="121">
        <v>0</v>
      </c>
      <c r="H2" s="121">
        <v>0</v>
      </c>
      <c r="I2" s="121">
        <v>0</v>
      </c>
      <c r="J2" s="121">
        <v>0</v>
      </c>
      <c r="K2" s="121">
        <v>0</v>
      </c>
      <c r="L2" s="3">
        <v>1</v>
      </c>
      <c r="M2" s="3">
        <v>1</v>
      </c>
      <c r="N2" s="3">
        <v>1</v>
      </c>
      <c r="O2" s="4">
        <v>1</v>
      </c>
      <c r="P2" s="3">
        <f>IF(Calculator!$M$8,1,1)</f>
        <v>1</v>
      </c>
      <c r="Q2" s="3">
        <v>0</v>
      </c>
    </row>
    <row r="3" spans="1:17" ht="39.75" customHeight="1">
      <c r="A3" s="2">
        <v>2</v>
      </c>
      <c r="B3" s="122" t="s">
        <v>23</v>
      </c>
      <c r="C3" s="121">
        <v>128</v>
      </c>
      <c r="D3" s="121">
        <v>750</v>
      </c>
      <c r="E3" s="121">
        <v>1000</v>
      </c>
      <c r="F3" s="121">
        <v>300</v>
      </c>
      <c r="G3" s="121">
        <v>470</v>
      </c>
      <c r="H3" s="121">
        <v>1700</v>
      </c>
      <c r="I3" s="121">
        <v>1700</v>
      </c>
      <c r="J3" s="121">
        <f>IF(Calculator!$N$8,1000,1300)</f>
        <v>1000</v>
      </c>
      <c r="K3" s="121">
        <f>IF(Calculator!$N$8,2300,2800)</f>
        <v>2300</v>
      </c>
      <c r="L3" s="3">
        <v>1</v>
      </c>
      <c r="M3" s="3">
        <v>0</v>
      </c>
      <c r="N3" s="3">
        <v>1</v>
      </c>
      <c r="O3" s="4">
        <v>0</v>
      </c>
      <c r="P3" s="3">
        <f>IF(Calculator!$M$8,1,1)</f>
        <v>1</v>
      </c>
      <c r="Q3" s="3">
        <v>34.4</v>
      </c>
    </row>
    <row r="4" spans="1:17" ht="39.75" customHeight="1">
      <c r="A4" s="2">
        <v>3</v>
      </c>
      <c r="B4" s="122" t="s">
        <v>251</v>
      </c>
      <c r="C4" s="121">
        <v>0</v>
      </c>
      <c r="D4" s="121">
        <v>350</v>
      </c>
      <c r="E4" s="121">
        <v>1000</v>
      </c>
      <c r="F4" s="121">
        <v>155</v>
      </c>
      <c r="G4" s="121">
        <v>235</v>
      </c>
      <c r="H4" s="121">
        <v>1000</v>
      </c>
      <c r="I4" s="121">
        <v>0</v>
      </c>
      <c r="J4" s="121">
        <v>350</v>
      </c>
      <c r="K4" s="121">
        <v>1000</v>
      </c>
      <c r="L4" s="3">
        <v>0</v>
      </c>
      <c r="M4" s="3">
        <v>0</v>
      </c>
      <c r="N4" s="3">
        <v>0</v>
      </c>
      <c r="O4" s="4">
        <v>0</v>
      </c>
      <c r="P4" s="3">
        <v>1</v>
      </c>
      <c r="Q4" s="3">
        <v>14</v>
      </c>
    </row>
    <row r="5" spans="1:17" ht="39.75" customHeight="1">
      <c r="A5" s="2">
        <v>4</v>
      </c>
      <c r="B5" s="122" t="s">
        <v>29</v>
      </c>
      <c r="C5" s="121">
        <v>64</v>
      </c>
      <c r="D5" s="121">
        <v>750</v>
      </c>
      <c r="E5" s="121">
        <v>750</v>
      </c>
      <c r="F5" s="121">
        <v>300</v>
      </c>
      <c r="G5" s="121">
        <v>470</v>
      </c>
      <c r="H5" s="121">
        <v>1700</v>
      </c>
      <c r="I5" s="121">
        <v>1700</v>
      </c>
      <c r="J5" s="121">
        <v>1000</v>
      </c>
      <c r="K5" s="121">
        <v>2300</v>
      </c>
      <c r="L5" s="3">
        <v>1</v>
      </c>
      <c r="M5" s="3">
        <v>0</v>
      </c>
      <c r="N5" s="3">
        <v>0</v>
      </c>
      <c r="O5" s="4">
        <v>0</v>
      </c>
      <c r="P5" s="3">
        <f>IF(Calculator!$M$8,1,1)</f>
        <v>1</v>
      </c>
      <c r="Q5" s="3">
        <v>34.4</v>
      </c>
    </row>
    <row r="6" spans="1:17" ht="39.75" customHeight="1">
      <c r="A6" s="2">
        <v>5</v>
      </c>
      <c r="B6" s="122" t="s">
        <v>24</v>
      </c>
      <c r="C6" s="121">
        <v>128</v>
      </c>
      <c r="D6" s="121">
        <v>1000</v>
      </c>
      <c r="E6" s="121">
        <v>1700</v>
      </c>
      <c r="F6" s="121">
        <v>300</v>
      </c>
      <c r="G6" s="121">
        <v>470</v>
      </c>
      <c r="H6" s="121">
        <v>1700</v>
      </c>
      <c r="I6" s="121">
        <v>1700</v>
      </c>
      <c r="J6" s="121">
        <f>IF(Calculator!$N$8,1000,1300)</f>
        <v>1000</v>
      </c>
      <c r="K6" s="121">
        <f>IF(Calculator!$N$8,2300,2800)</f>
        <v>2300</v>
      </c>
      <c r="L6" s="3">
        <v>1</v>
      </c>
      <c r="M6" s="3">
        <v>0</v>
      </c>
      <c r="N6" s="3">
        <v>1</v>
      </c>
      <c r="O6" s="4">
        <v>0</v>
      </c>
      <c r="P6" s="3">
        <f>IF(Calculator!$M$8,1,1)</f>
        <v>1</v>
      </c>
      <c r="Q6" s="3">
        <v>34.4</v>
      </c>
    </row>
    <row r="7" spans="1:17" ht="39.75" customHeight="1">
      <c r="A7" s="2">
        <v>6</v>
      </c>
      <c r="B7" s="122" t="s">
        <v>163</v>
      </c>
      <c r="C7" s="121">
        <v>128</v>
      </c>
      <c r="D7" s="121">
        <v>750</v>
      </c>
      <c r="E7" s="121">
        <v>1000</v>
      </c>
      <c r="F7" s="121">
        <v>250</v>
      </c>
      <c r="G7" s="121">
        <v>330</v>
      </c>
      <c r="H7" s="121">
        <v>1700</v>
      </c>
      <c r="I7" s="167" t="s">
        <v>167</v>
      </c>
      <c r="J7" s="121">
        <f>IF(Calculator!$N$8,750,1000)</f>
        <v>750</v>
      </c>
      <c r="K7" s="121">
        <v>1700</v>
      </c>
      <c r="L7" s="3">
        <v>1</v>
      </c>
      <c r="M7" s="3">
        <v>0</v>
      </c>
      <c r="N7" s="3">
        <v>1</v>
      </c>
      <c r="O7" s="4">
        <v>0</v>
      </c>
      <c r="P7" s="3">
        <f>IF(Calculator!$M$8,0,1)</f>
        <v>0</v>
      </c>
      <c r="Q7" s="3">
        <v>17.2</v>
      </c>
    </row>
    <row r="8" spans="1:17" ht="39.75" customHeight="1">
      <c r="A8" s="2">
        <v>7</v>
      </c>
      <c r="B8" s="122" t="s">
        <v>164</v>
      </c>
      <c r="C8" s="121">
        <v>128</v>
      </c>
      <c r="D8" s="121">
        <v>750</v>
      </c>
      <c r="E8" s="121">
        <v>1000</v>
      </c>
      <c r="F8" s="121">
        <v>250</v>
      </c>
      <c r="G8" s="121">
        <v>330</v>
      </c>
      <c r="H8" s="121">
        <v>1700</v>
      </c>
      <c r="I8" s="167" t="s">
        <v>167</v>
      </c>
      <c r="J8" s="121">
        <f>IF(Calculator!$N$8,750,1000)</f>
        <v>750</v>
      </c>
      <c r="K8" s="121">
        <v>1700</v>
      </c>
      <c r="L8" s="3">
        <v>1</v>
      </c>
      <c r="M8" s="3">
        <v>1</v>
      </c>
      <c r="N8" s="3">
        <v>1</v>
      </c>
      <c r="O8" s="4">
        <v>0</v>
      </c>
      <c r="P8" s="3">
        <f>IF(Calculator!$M$8,0,1)</f>
        <v>0</v>
      </c>
      <c r="Q8" s="3">
        <v>17.2</v>
      </c>
    </row>
    <row r="9" spans="1:17" ht="39.75" customHeight="1">
      <c r="A9" s="2">
        <v>8</v>
      </c>
      <c r="B9" s="122" t="s">
        <v>165</v>
      </c>
      <c r="C9" s="121">
        <v>128</v>
      </c>
      <c r="D9" s="121">
        <v>1000</v>
      </c>
      <c r="E9" s="121">
        <v>1700</v>
      </c>
      <c r="F9" s="121">
        <v>300</v>
      </c>
      <c r="G9" s="121">
        <v>470</v>
      </c>
      <c r="H9" s="121">
        <v>1700</v>
      </c>
      <c r="I9" s="121">
        <v>1700</v>
      </c>
      <c r="J9" s="121">
        <f>IF(Calculator!$N$8,1000,1300)</f>
        <v>1000</v>
      </c>
      <c r="K9" s="121">
        <f>IF(Calculator!$N$8,2300,2800)</f>
        <v>2300</v>
      </c>
      <c r="L9" s="3">
        <v>1</v>
      </c>
      <c r="M9" s="3">
        <v>0</v>
      </c>
      <c r="N9" s="3">
        <v>1</v>
      </c>
      <c r="O9" s="4">
        <v>0</v>
      </c>
      <c r="P9" s="3">
        <f>IF(Calculator!$M$8,1,1)</f>
        <v>1</v>
      </c>
      <c r="Q9" s="3">
        <v>34.4</v>
      </c>
    </row>
    <row r="10" spans="1:17" ht="39.75" customHeight="1">
      <c r="A10" s="2">
        <v>9</v>
      </c>
      <c r="B10" s="122" t="s">
        <v>166</v>
      </c>
      <c r="C10" s="121">
        <v>128</v>
      </c>
      <c r="D10" s="121">
        <v>1000</v>
      </c>
      <c r="E10" s="121">
        <v>1700</v>
      </c>
      <c r="F10" s="121">
        <v>300</v>
      </c>
      <c r="G10" s="121">
        <v>470</v>
      </c>
      <c r="H10" s="121">
        <v>1700</v>
      </c>
      <c r="I10" s="121">
        <v>1700</v>
      </c>
      <c r="J10" s="121">
        <f>IF(Calculator!$N$8,1000,1300)</f>
        <v>1000</v>
      </c>
      <c r="K10" s="121">
        <f>IF(Calculator!$N$8,2300,2800)</f>
        <v>2300</v>
      </c>
      <c r="L10" s="3">
        <v>1</v>
      </c>
      <c r="M10" s="3">
        <v>1</v>
      </c>
      <c r="N10" s="3">
        <v>1</v>
      </c>
      <c r="O10" s="4">
        <v>0</v>
      </c>
      <c r="P10" s="3">
        <f>IF(Calculator!$M$8,1,1)</f>
        <v>1</v>
      </c>
      <c r="Q10" s="3">
        <v>34.4</v>
      </c>
    </row>
    <row r="11" spans="1:17" ht="39.75" customHeight="1">
      <c r="A11" s="2">
        <v>10</v>
      </c>
      <c r="B11" s="122" t="s">
        <v>25</v>
      </c>
      <c r="C11" s="121">
        <v>128</v>
      </c>
      <c r="D11" s="121">
        <v>750</v>
      </c>
      <c r="E11" s="121">
        <v>1000</v>
      </c>
      <c r="F11" s="121">
        <v>250</v>
      </c>
      <c r="G11" s="121">
        <v>330</v>
      </c>
      <c r="H11" s="121">
        <v>1700</v>
      </c>
      <c r="I11" s="167" t="s">
        <v>167</v>
      </c>
      <c r="J11" s="121">
        <f>IF(Calculator!$N$8,750,1000)</f>
        <v>750</v>
      </c>
      <c r="K11" s="121">
        <v>1700</v>
      </c>
      <c r="L11" s="3">
        <v>1</v>
      </c>
      <c r="M11" s="3">
        <v>1</v>
      </c>
      <c r="N11" s="3">
        <v>1</v>
      </c>
      <c r="O11" s="4">
        <v>0</v>
      </c>
      <c r="P11" s="3">
        <f>IF(Calculator!$M$8,0,1)</f>
        <v>0</v>
      </c>
      <c r="Q11" s="3">
        <v>17.2</v>
      </c>
    </row>
    <row r="12" spans="1:17" ht="39.75" customHeight="1">
      <c r="A12" s="2">
        <v>11</v>
      </c>
      <c r="B12" s="122" t="s">
        <v>26</v>
      </c>
      <c r="C12" s="121">
        <v>128</v>
      </c>
      <c r="D12" s="121">
        <v>1000</v>
      </c>
      <c r="E12" s="121">
        <v>1700</v>
      </c>
      <c r="F12" s="121">
        <v>300</v>
      </c>
      <c r="G12" s="121">
        <v>470</v>
      </c>
      <c r="H12" s="121">
        <v>1700</v>
      </c>
      <c r="I12" s="121">
        <v>1700</v>
      </c>
      <c r="J12" s="121">
        <f>IF(Calculator!$N$8,1000,1300)</f>
        <v>1000</v>
      </c>
      <c r="K12" s="121">
        <f>IF(Calculator!$N$8,2300,2800)</f>
        <v>2300</v>
      </c>
      <c r="L12" s="3">
        <v>1</v>
      </c>
      <c r="M12" s="3">
        <v>1</v>
      </c>
      <c r="N12" s="3">
        <v>1</v>
      </c>
      <c r="O12" s="4">
        <v>0</v>
      </c>
      <c r="P12" s="3">
        <f>IF(Calculator!$M$8,1,1)</f>
        <v>1</v>
      </c>
      <c r="Q12" s="3">
        <v>34.4</v>
      </c>
    </row>
    <row r="13" spans="1:17" ht="39.75" customHeight="1">
      <c r="A13" s="2">
        <v>12</v>
      </c>
      <c r="B13" s="122" t="s">
        <v>27</v>
      </c>
      <c r="C13" s="121">
        <v>64</v>
      </c>
      <c r="D13" s="121">
        <v>750</v>
      </c>
      <c r="E13" s="121">
        <v>750</v>
      </c>
      <c r="F13" s="121">
        <v>250</v>
      </c>
      <c r="G13" s="121">
        <v>330</v>
      </c>
      <c r="H13" s="121">
        <v>1700</v>
      </c>
      <c r="I13" s="167" t="s">
        <v>167</v>
      </c>
      <c r="J13" s="121">
        <f>IF(Calculator!$N$8,750,1000)</f>
        <v>750</v>
      </c>
      <c r="K13" s="121">
        <f>IF(Calculator!$N$8,750,1700)</f>
        <v>750</v>
      </c>
      <c r="L13" s="3">
        <v>1</v>
      </c>
      <c r="M13" s="3">
        <v>0</v>
      </c>
      <c r="N13" s="3">
        <v>1</v>
      </c>
      <c r="O13" s="4">
        <v>1</v>
      </c>
      <c r="P13" s="3">
        <f>IF(Calculator!$M$8,0,1)</f>
        <v>0</v>
      </c>
      <c r="Q13" s="3">
        <v>17.2</v>
      </c>
    </row>
    <row r="14" spans="1:17" ht="39.75" customHeight="1">
      <c r="A14" s="2">
        <v>13</v>
      </c>
      <c r="B14" s="122" t="s">
        <v>28</v>
      </c>
      <c r="C14" s="121">
        <v>64</v>
      </c>
      <c r="D14" s="121">
        <v>750</v>
      </c>
      <c r="E14" s="121">
        <v>750</v>
      </c>
      <c r="F14" s="121">
        <v>250</v>
      </c>
      <c r="G14" s="121">
        <v>330</v>
      </c>
      <c r="H14" s="121">
        <v>1700</v>
      </c>
      <c r="I14" s="167" t="s">
        <v>167</v>
      </c>
      <c r="J14" s="121">
        <f>IF(Calculator!$N$8,300,750)</f>
        <v>300</v>
      </c>
      <c r="K14" s="121">
        <f>IF(Calculator!$N$8,750,1700)</f>
        <v>750</v>
      </c>
      <c r="L14" s="3">
        <v>1</v>
      </c>
      <c r="M14" s="3">
        <v>0</v>
      </c>
      <c r="N14" s="3">
        <v>1</v>
      </c>
      <c r="O14" s="4">
        <v>1</v>
      </c>
      <c r="P14" s="3">
        <f>IF(Calculator!$M$8,0,1)</f>
        <v>0</v>
      </c>
      <c r="Q14" s="3">
        <v>34.4</v>
      </c>
    </row>
    <row r="15" spans="1:17" ht="39.75" customHeight="1">
      <c r="A15" s="2">
        <v>14</v>
      </c>
      <c r="B15" s="122" t="s">
        <v>136</v>
      </c>
      <c r="C15" s="121">
        <v>0</v>
      </c>
      <c r="D15" s="121">
        <f>IF(Calculator!$N$8,500,600)</f>
        <v>500</v>
      </c>
      <c r="E15" s="121">
        <f>IF(Calculator!$N$8,500,600)</f>
        <v>500</v>
      </c>
      <c r="F15" s="121">
        <v>85</v>
      </c>
      <c r="G15" s="121">
        <v>160</v>
      </c>
      <c r="H15" s="121">
        <f>IF(Calculator!$N$8,600,2000)</f>
        <v>600</v>
      </c>
      <c r="I15" s="167" t="s">
        <v>167</v>
      </c>
      <c r="J15" s="121">
        <f>IF(Calculator!$N$8,500,600)</f>
        <v>500</v>
      </c>
      <c r="K15" s="121">
        <f>IF(Calculator!$N$8,600,2000)</f>
        <v>600</v>
      </c>
      <c r="L15" s="3">
        <v>0</v>
      </c>
      <c r="M15" s="3">
        <v>1</v>
      </c>
      <c r="N15" s="3">
        <v>0</v>
      </c>
      <c r="O15" s="4">
        <v>1</v>
      </c>
      <c r="P15" s="3">
        <f>IF(Calculator!$M$8,0,1)</f>
        <v>0</v>
      </c>
      <c r="Q15" s="3">
        <v>17.2</v>
      </c>
    </row>
    <row r="16" spans="1:17" ht="39.75" customHeight="1">
      <c r="A16" s="2">
        <v>15</v>
      </c>
      <c r="B16" s="122" t="s">
        <v>135</v>
      </c>
      <c r="C16" s="121">
        <v>0</v>
      </c>
      <c r="D16" s="121">
        <f>IF(Calculator!$N$8,500,600)</f>
        <v>500</v>
      </c>
      <c r="E16" s="121">
        <f>IF(Calculator!$N$8,500,600)</f>
        <v>500</v>
      </c>
      <c r="F16" s="121">
        <v>85</v>
      </c>
      <c r="G16" s="121">
        <v>160</v>
      </c>
      <c r="H16" s="121">
        <f>IF(Calculator!$N$8,600,2000)</f>
        <v>600</v>
      </c>
      <c r="I16" s="167" t="s">
        <v>167</v>
      </c>
      <c r="J16" s="121">
        <f>IF(Calculator!$N$8,500,600)</f>
        <v>500</v>
      </c>
      <c r="K16" s="121">
        <f>IF(Calculator!$N$8,600,2000)</f>
        <v>600</v>
      </c>
      <c r="L16" s="3">
        <v>0</v>
      </c>
      <c r="M16" s="3">
        <v>0</v>
      </c>
      <c r="N16" s="3">
        <v>0</v>
      </c>
      <c r="O16" s="4">
        <v>1</v>
      </c>
      <c r="P16" s="3">
        <f>IF(Calculator!$M$8,0,1)</f>
        <v>0</v>
      </c>
      <c r="Q16" s="3">
        <v>17.2</v>
      </c>
    </row>
    <row r="17" spans="1:17" ht="39.75" customHeight="1">
      <c r="A17" s="2">
        <v>16</v>
      </c>
      <c r="B17" s="122" t="s">
        <v>33</v>
      </c>
      <c r="C17" s="121">
        <v>0</v>
      </c>
      <c r="D17" s="121">
        <v>0</v>
      </c>
      <c r="E17" s="121">
        <v>0</v>
      </c>
      <c r="F17" s="121">
        <v>0</v>
      </c>
      <c r="G17" s="121">
        <v>0</v>
      </c>
      <c r="H17" s="121">
        <v>0</v>
      </c>
      <c r="I17" s="121">
        <v>0</v>
      </c>
      <c r="J17" s="121">
        <v>0</v>
      </c>
      <c r="K17" s="121">
        <f>IF(Calculator!$N$8,0,0)</f>
        <v>0</v>
      </c>
      <c r="L17" s="3">
        <v>1</v>
      </c>
      <c r="M17" s="3">
        <v>1</v>
      </c>
      <c r="N17" s="3">
        <v>1</v>
      </c>
      <c r="O17" s="4">
        <v>1</v>
      </c>
      <c r="P17" s="3">
        <f>IF(Calculator!$M$8,1,1)</f>
        <v>1</v>
      </c>
      <c r="Q17" s="3">
        <v>0</v>
      </c>
    </row>
    <row r="20" spans="1:4" ht="27.75" customHeight="1" thickBot="1">
      <c r="A20" s="154"/>
      <c r="B20" s="159"/>
      <c r="C20" s="159"/>
      <c r="D20" s="159"/>
    </row>
    <row r="21" spans="1:4" ht="13.5" thickTop="1">
      <c r="A21" s="324" t="s">
        <v>146</v>
      </c>
      <c r="B21" s="325"/>
      <c r="C21" s="325"/>
      <c r="D21" s="326"/>
    </row>
    <row r="22" spans="1:4" ht="37.5" customHeight="1">
      <c r="A22" s="321" t="s">
        <v>147</v>
      </c>
      <c r="B22" s="322"/>
      <c r="C22" s="322"/>
      <c r="D22" s="323"/>
    </row>
    <row r="23" spans="1:4" ht="41.25" customHeight="1">
      <c r="A23" s="160" t="s">
        <v>116</v>
      </c>
      <c r="B23" s="157">
        <f>VLOOKUP(Data!$D$27,Battery_Contingency,3)</f>
        <v>1.1</v>
      </c>
      <c r="C23" s="69"/>
      <c r="D23" s="161"/>
    </row>
    <row r="24" spans="1:4" ht="27.75" customHeight="1" thickBot="1">
      <c r="A24" s="162"/>
      <c r="B24" s="163"/>
      <c r="C24" s="164"/>
      <c r="D24" s="165"/>
    </row>
    <row r="25" spans="1:10" ht="69.75" customHeight="1" thickTop="1">
      <c r="A25" s="317" t="s">
        <v>148</v>
      </c>
      <c r="B25" s="274"/>
      <c r="C25" s="274"/>
      <c r="D25" s="275"/>
      <c r="G25" s="318" t="s">
        <v>149</v>
      </c>
      <c r="H25" s="319"/>
      <c r="I25" s="319"/>
      <c r="J25" s="320"/>
    </row>
    <row r="26" spans="1:10" ht="11.25">
      <c r="A26" s="65" t="s">
        <v>142</v>
      </c>
      <c r="B26" s="119" t="s">
        <v>143</v>
      </c>
      <c r="C26" s="66" t="s">
        <v>144</v>
      </c>
      <c r="D26" s="67" t="s">
        <v>145</v>
      </c>
      <c r="G26" s="68"/>
      <c r="H26" s="69"/>
      <c r="I26" s="69"/>
      <c r="J26" s="70"/>
    </row>
    <row r="27" spans="1:10" ht="11.25">
      <c r="A27" s="68">
        <v>1</v>
      </c>
      <c r="B27" s="155">
        <v>0.1</v>
      </c>
      <c r="C27" s="69">
        <v>1.1</v>
      </c>
      <c r="D27" s="253">
        <v>1</v>
      </c>
      <c r="G27" s="68"/>
      <c r="H27" s="69"/>
      <c r="I27" s="69"/>
      <c r="J27" s="70"/>
    </row>
    <row r="28" spans="1:10" ht="11.25">
      <c r="A28" s="68">
        <v>2</v>
      </c>
      <c r="B28" s="155">
        <v>0.2</v>
      </c>
      <c r="C28" s="69">
        <v>1.2</v>
      </c>
      <c r="D28" s="70"/>
      <c r="G28" s="68"/>
      <c r="H28" s="69"/>
      <c r="I28" s="69"/>
      <c r="J28" s="70"/>
    </row>
    <row r="29" spans="1:10" ht="15">
      <c r="A29" s="71">
        <v>3</v>
      </c>
      <c r="B29" s="156">
        <v>0.4</v>
      </c>
      <c r="C29" s="72">
        <v>1.4</v>
      </c>
      <c r="D29" s="157">
        <f>VLOOKUP(Data!$D$27,Battery_Contingency,3)</f>
        <v>1.1</v>
      </c>
      <c r="G29" s="158">
        <f>IF(Calculator!$J$3&lt;4.1,1.4,1.1)</f>
        <v>1.1</v>
      </c>
      <c r="H29" s="72"/>
      <c r="I29" s="72"/>
      <c r="J29" s="73"/>
    </row>
    <row r="32" ht="12" thickBot="1"/>
    <row r="33" spans="1:10" ht="24" customHeight="1">
      <c r="A33" s="190" t="s">
        <v>194</v>
      </c>
      <c r="B33" s="180" t="s">
        <v>175</v>
      </c>
      <c r="C33" s="180" t="s">
        <v>185</v>
      </c>
      <c r="D33" s="180" t="s">
        <v>186</v>
      </c>
      <c r="E33" s="192" t="s">
        <v>250</v>
      </c>
      <c r="F33" s="177"/>
      <c r="G33" s="190" t="s">
        <v>191</v>
      </c>
      <c r="H33" s="180" t="s">
        <v>189</v>
      </c>
      <c r="I33" s="181" t="s">
        <v>187</v>
      </c>
      <c r="J33" s="177"/>
    </row>
    <row r="34" spans="1:10" ht="24" customHeight="1">
      <c r="A34" s="182">
        <v>1</v>
      </c>
      <c r="B34" s="183" t="s">
        <v>176</v>
      </c>
      <c r="C34" s="179">
        <v>0</v>
      </c>
      <c r="D34" s="179">
        <v>0</v>
      </c>
      <c r="E34" s="239">
        <v>1</v>
      </c>
      <c r="F34" s="177"/>
      <c r="G34" s="191">
        <v>1</v>
      </c>
      <c r="H34" s="179" t="s">
        <v>192</v>
      </c>
      <c r="I34" s="239">
        <v>1</v>
      </c>
      <c r="J34" s="242">
        <v>2</v>
      </c>
    </row>
    <row r="35" spans="1:10" ht="24" customHeight="1" thickBot="1">
      <c r="A35" s="182">
        <v>2</v>
      </c>
      <c r="B35" s="183" t="s">
        <v>177</v>
      </c>
      <c r="C35" s="184">
        <v>2.01</v>
      </c>
      <c r="D35" s="185">
        <v>6.59448818897638</v>
      </c>
      <c r="E35" s="240">
        <v>1</v>
      </c>
      <c r="F35" s="178"/>
      <c r="G35" s="187">
        <v>2</v>
      </c>
      <c r="H35" s="188" t="s">
        <v>193</v>
      </c>
      <c r="I35" s="241">
        <v>1</v>
      </c>
      <c r="J35" s="176"/>
    </row>
    <row r="36" spans="1:10" ht="24" customHeight="1" thickBot="1">
      <c r="A36" s="182">
        <v>3</v>
      </c>
      <c r="B36" s="183" t="s">
        <v>178</v>
      </c>
      <c r="C36" s="184">
        <v>2.05</v>
      </c>
      <c r="D36" s="185">
        <v>6.725721784776903</v>
      </c>
      <c r="E36" s="240">
        <v>1</v>
      </c>
      <c r="F36" s="178"/>
      <c r="G36" s="176"/>
      <c r="H36" s="176"/>
      <c r="I36" s="176"/>
      <c r="J36" s="176"/>
    </row>
    <row r="37" spans="1:10" ht="24" customHeight="1">
      <c r="A37" s="182">
        <v>4</v>
      </c>
      <c r="B37" s="183" t="s">
        <v>179</v>
      </c>
      <c r="C37" s="184">
        <v>3.19</v>
      </c>
      <c r="D37" s="185">
        <v>10.465879265091862</v>
      </c>
      <c r="E37" s="240">
        <v>6</v>
      </c>
      <c r="F37" s="178"/>
      <c r="G37" s="190" t="s">
        <v>220</v>
      </c>
      <c r="H37" s="180" t="s">
        <v>221</v>
      </c>
      <c r="I37" s="215"/>
      <c r="J37" s="176"/>
    </row>
    <row r="38" spans="1:10" ht="24" customHeight="1">
      <c r="A38" s="182">
        <v>5</v>
      </c>
      <c r="B38" s="183" t="s">
        <v>180</v>
      </c>
      <c r="C38" s="184">
        <v>3.26</v>
      </c>
      <c r="D38" s="185">
        <v>10.695538057742782</v>
      </c>
      <c r="E38" s="240">
        <v>6</v>
      </c>
      <c r="F38" s="178"/>
      <c r="G38" s="182">
        <v>1</v>
      </c>
      <c r="H38" s="69" t="s">
        <v>218</v>
      </c>
      <c r="I38" s="186"/>
      <c r="J38" s="176"/>
    </row>
    <row r="39" spans="1:10" ht="24" customHeight="1">
      <c r="A39" s="182">
        <v>6</v>
      </c>
      <c r="B39" s="183" t="s">
        <v>181</v>
      </c>
      <c r="C39" s="184">
        <v>5.08</v>
      </c>
      <c r="D39" s="185">
        <v>16.666666666666664</v>
      </c>
      <c r="E39" s="186"/>
      <c r="F39" s="178"/>
      <c r="G39" s="217">
        <v>2</v>
      </c>
      <c r="H39" s="69" t="s">
        <v>219</v>
      </c>
      <c r="I39" s="186"/>
      <c r="J39" s="176"/>
    </row>
    <row r="40" spans="1:10" ht="24" customHeight="1" thickBot="1">
      <c r="A40" s="182">
        <v>7</v>
      </c>
      <c r="B40" s="183" t="s">
        <v>182</v>
      </c>
      <c r="C40" s="184">
        <v>5.29</v>
      </c>
      <c r="D40" s="185">
        <v>17.355643044619423</v>
      </c>
      <c r="E40" s="186"/>
      <c r="F40" s="178"/>
      <c r="G40" s="216"/>
      <c r="H40" s="206"/>
      <c r="I40" s="189"/>
      <c r="J40" s="176"/>
    </row>
    <row r="41" spans="1:10" ht="24" customHeight="1">
      <c r="A41" s="182">
        <v>8</v>
      </c>
      <c r="B41" s="183" t="s">
        <v>183</v>
      </c>
      <c r="C41" s="184">
        <v>8.08</v>
      </c>
      <c r="D41" s="185">
        <v>26.509186351706035</v>
      </c>
      <c r="E41" s="186"/>
      <c r="F41" s="178"/>
      <c r="G41" s="176"/>
      <c r="H41" s="176"/>
      <c r="I41" s="176"/>
      <c r="J41" s="176"/>
    </row>
    <row r="42" spans="1:10" ht="24" customHeight="1">
      <c r="A42" s="182">
        <v>9</v>
      </c>
      <c r="B42" s="183" t="s">
        <v>184</v>
      </c>
      <c r="C42" s="184">
        <v>8.45</v>
      </c>
      <c r="D42" s="185">
        <v>27.72309711286089</v>
      </c>
      <c r="E42" s="186"/>
      <c r="F42" s="178"/>
      <c r="G42" s="176"/>
      <c r="H42" s="176"/>
      <c r="I42" s="176"/>
      <c r="J42" s="176"/>
    </row>
    <row r="43" spans="1:5" ht="24" customHeight="1">
      <c r="A43" s="201">
        <v>10</v>
      </c>
      <c r="B43" s="179" t="s">
        <v>201</v>
      </c>
      <c r="C43" s="69">
        <v>10.15</v>
      </c>
      <c r="D43" s="69">
        <v>33.2</v>
      </c>
      <c r="E43" s="202"/>
    </row>
    <row r="44" spans="1:5" ht="12.75">
      <c r="A44" s="201">
        <v>11</v>
      </c>
      <c r="B44" s="179" t="s">
        <v>202</v>
      </c>
      <c r="C44" s="69">
        <v>10.5</v>
      </c>
      <c r="D44" s="69">
        <v>34.1</v>
      </c>
      <c r="E44" s="202"/>
    </row>
    <row r="45" spans="1:5" ht="11.25">
      <c r="A45" s="201">
        <v>12</v>
      </c>
      <c r="B45" s="203" t="s">
        <v>203</v>
      </c>
      <c r="C45" s="69">
        <v>16.14</v>
      </c>
      <c r="D45" s="69">
        <v>51.7</v>
      </c>
      <c r="E45" s="202"/>
    </row>
    <row r="46" spans="1:5" ht="12" thickBot="1">
      <c r="A46" s="204">
        <v>13</v>
      </c>
      <c r="B46" s="205" t="s">
        <v>204</v>
      </c>
      <c r="C46" s="206">
        <v>16.8</v>
      </c>
      <c r="D46" s="206">
        <v>52.7</v>
      </c>
      <c r="E46" s="207"/>
    </row>
  </sheetData>
  <sheetProtection password="E9EC" sheet="1" objects="1" scenarios="1"/>
  <mergeCells count="4">
    <mergeCell ref="A25:D25"/>
    <mergeCell ref="G25:J25"/>
    <mergeCell ref="A22:D22"/>
    <mergeCell ref="A21:D21"/>
  </mergeCells>
  <printOptions/>
  <pageMargins left="0.75" right="0.75" top="1" bottom="1" header="0.5" footer="0.5"/>
  <pageSetup fitToHeight="1" fitToWidth="1" horizontalDpi="600" verticalDpi="600" orientation="landscape" scale="53" r:id="rId3"/>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Ademco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McAward</dc:creator>
  <cp:keywords/>
  <dc:description/>
  <cp:lastModifiedBy>HP Authorized Customer</cp:lastModifiedBy>
  <cp:lastPrinted>2006-04-12T17:13:40Z</cp:lastPrinted>
  <dcterms:created xsi:type="dcterms:W3CDTF">2003-03-14T14:47:09Z</dcterms:created>
  <dcterms:modified xsi:type="dcterms:W3CDTF">2007-09-06T23:24:48Z</dcterms:modified>
  <cp:category/>
  <cp:version/>
  <cp:contentType/>
  <cp:contentStatus/>
</cp:coreProperties>
</file>